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codeName="ThisWorkbook"/>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18\"/>
    </mc:Choice>
  </mc:AlternateContent>
  <xr:revisionPtr revIDLastSave="0" documentId="8_{95753699-30D0-479B-90E0-23341C09D3FC}" xr6:coauthVersionLast="47" xr6:coauthVersionMax="47" xr10:uidLastSave="{00000000-0000-0000-0000-000000000000}"/>
  <bookViews>
    <workbookView xWindow="-120" yWindow="-120" windowWidth="20730" windowHeight="11040"/>
  </bookViews>
  <sheets>
    <sheet name="POAI DIC 2018" sheetId="9" r:id="rId1"/>
  </sheets>
  <externalReferences>
    <externalReference r:id="rId2"/>
    <externalReference r:id="rId3"/>
  </externalReferences>
  <definedNames>
    <definedName name="_1._Apoyo_con_equipos_para_la_seguridad_vial_Licenciamiento_de_software_para_comunicaciones">#REF!</definedName>
    <definedName name="CODIGO_DIVIPOLA">#REF!</definedName>
    <definedName name="DboREGISTRO_LEY_617">#REF!</definedName>
  </definedNames>
  <calcPr calcId="191029"/>
</workbook>
</file>

<file path=xl/calcChain.xml><?xml version="1.0" encoding="utf-8"?>
<calcChain xmlns="http://schemas.openxmlformats.org/spreadsheetml/2006/main">
  <c r="T742" i="9" l="1"/>
  <c r="AI741" i="9"/>
  <c r="AI742" i="9" s="1"/>
  <c r="AC741" i="9"/>
  <c r="AC742" i="9" s="1"/>
  <c r="Q741" i="9"/>
  <c r="Q742" i="9" s="1"/>
  <c r="AF740" i="9"/>
  <c r="AF741" i="9" s="1"/>
  <c r="AF742" i="9" s="1"/>
  <c r="Z740" i="9"/>
  <c r="Z741" i="9" s="1"/>
  <c r="Z742" i="9" s="1"/>
  <c r="T740" i="9"/>
  <c r="T741" i="9" s="1"/>
  <c r="AJ739" i="9"/>
  <c r="AJ740" i="9" s="1"/>
  <c r="AJ741" i="9" s="1"/>
  <c r="AJ742" i="9" s="1"/>
  <c r="AI739" i="9"/>
  <c r="AI740" i="9" s="1"/>
  <c r="AH739" i="9"/>
  <c r="AH740" i="9" s="1"/>
  <c r="AH741" i="9" s="1"/>
  <c r="AH742" i="9" s="1"/>
  <c r="AG739" i="9"/>
  <c r="AG740" i="9" s="1"/>
  <c r="AG741" i="9" s="1"/>
  <c r="AG742" i="9" s="1"/>
  <c r="AF739" i="9"/>
  <c r="AE739" i="9"/>
  <c r="AE740" i="9" s="1"/>
  <c r="AE741" i="9" s="1"/>
  <c r="AE742" i="9" s="1"/>
  <c r="AD739" i="9"/>
  <c r="AD740" i="9" s="1"/>
  <c r="AD741" i="9" s="1"/>
  <c r="AD742" i="9" s="1"/>
  <c r="AC739" i="9"/>
  <c r="AC740" i="9" s="1"/>
  <c r="AB739" i="9"/>
  <c r="AB740" i="9" s="1"/>
  <c r="AB741" i="9" s="1"/>
  <c r="AB742" i="9" s="1"/>
  <c r="AA739" i="9"/>
  <c r="AA740" i="9" s="1"/>
  <c r="AA741" i="9" s="1"/>
  <c r="AA742" i="9" s="1"/>
  <c r="Z739" i="9"/>
  <c r="Y739" i="9"/>
  <c r="Y740" i="9" s="1"/>
  <c r="Y741" i="9" s="1"/>
  <c r="Y742" i="9" s="1"/>
  <c r="X739" i="9"/>
  <c r="X740" i="9" s="1"/>
  <c r="X741" i="9" s="1"/>
  <c r="X742" i="9" s="1"/>
  <c r="W739" i="9"/>
  <c r="W740" i="9" s="1"/>
  <c r="W741" i="9" s="1"/>
  <c r="W742" i="9" s="1"/>
  <c r="V739" i="9"/>
  <c r="V740" i="9" s="1"/>
  <c r="V741" i="9" s="1"/>
  <c r="V742" i="9" s="1"/>
  <c r="U739" i="9"/>
  <c r="U740" i="9" s="1"/>
  <c r="U741" i="9" s="1"/>
  <c r="U742" i="9" s="1"/>
  <c r="T739" i="9"/>
  <c r="S739" i="9"/>
  <c r="S740" i="9" s="1"/>
  <c r="S741" i="9" s="1"/>
  <c r="S742" i="9" s="1"/>
  <c r="R739" i="9"/>
  <c r="R740" i="9" s="1"/>
  <c r="R741" i="9" s="1"/>
  <c r="R742" i="9" s="1"/>
  <c r="Q739" i="9"/>
  <c r="Q740" i="9" s="1"/>
  <c r="AK738" i="9"/>
  <c r="AK737" i="9"/>
  <c r="AK736" i="9"/>
  <c r="AK739" i="9" s="1"/>
  <c r="AK740" i="9" s="1"/>
  <c r="AK741" i="9" s="1"/>
  <c r="AK742" i="9" s="1"/>
  <c r="AC730" i="9"/>
  <c r="AF729" i="9"/>
  <c r="AF730" i="9" s="1"/>
  <c r="Z729" i="9"/>
  <c r="Z730" i="9" s="1"/>
  <c r="T729" i="9"/>
  <c r="T730" i="9" s="1"/>
  <c r="AI728" i="9"/>
  <c r="AI729" i="9" s="1"/>
  <c r="AI730" i="9" s="1"/>
  <c r="AC728" i="9"/>
  <c r="AC729" i="9" s="1"/>
  <c r="W728" i="9"/>
  <c r="W729" i="9" s="1"/>
  <c r="W730" i="9" s="1"/>
  <c r="Q728" i="9"/>
  <c r="Q729" i="9" s="1"/>
  <c r="Q730" i="9" s="1"/>
  <c r="AJ727" i="9"/>
  <c r="AJ728" i="9" s="1"/>
  <c r="AJ729" i="9" s="1"/>
  <c r="AJ730" i="9" s="1"/>
  <c r="AI727" i="9"/>
  <c r="AG727" i="9"/>
  <c r="AF727" i="9"/>
  <c r="AF728" i="9" s="1"/>
  <c r="AE727" i="9"/>
  <c r="AD727" i="9"/>
  <c r="AD728" i="9" s="1"/>
  <c r="AD729" i="9" s="1"/>
  <c r="AD730" i="9" s="1"/>
  <c r="AC727" i="9"/>
  <c r="AB727" i="9"/>
  <c r="AB728" i="9" s="1"/>
  <c r="AB729" i="9" s="1"/>
  <c r="AB730" i="9" s="1"/>
  <c r="AA727" i="9"/>
  <c r="Z727" i="9"/>
  <c r="Z728" i="9" s="1"/>
  <c r="Y727" i="9"/>
  <c r="X727" i="9"/>
  <c r="X728" i="9" s="1"/>
  <c r="X729" i="9" s="1"/>
  <c r="X730" i="9" s="1"/>
  <c r="W727" i="9"/>
  <c r="V727" i="9"/>
  <c r="V728" i="9" s="1"/>
  <c r="V729" i="9" s="1"/>
  <c r="V730" i="9" s="1"/>
  <c r="U727" i="9"/>
  <c r="T727" i="9"/>
  <c r="T728" i="9" s="1"/>
  <c r="R727" i="9"/>
  <c r="R728" i="9" s="1"/>
  <c r="R729" i="9" s="1"/>
  <c r="R730" i="9" s="1"/>
  <c r="Q727" i="9"/>
  <c r="AK726" i="9"/>
  <c r="S726" i="9"/>
  <c r="AK725" i="9"/>
  <c r="AH725" i="9"/>
  <c r="AH727" i="9" s="1"/>
  <c r="AH728" i="9" s="1"/>
  <c r="AH729" i="9" s="1"/>
  <c r="AH730" i="9" s="1"/>
  <c r="S724" i="9"/>
  <c r="S727" i="9" s="1"/>
  <c r="AK723" i="9"/>
  <c r="S723" i="9"/>
  <c r="AK721" i="9"/>
  <c r="AJ721" i="9"/>
  <c r="AI721" i="9"/>
  <c r="AH721" i="9"/>
  <c r="AG721" i="9"/>
  <c r="AG728" i="9" s="1"/>
  <c r="AG729" i="9" s="1"/>
  <c r="AG730" i="9" s="1"/>
  <c r="AF721" i="9"/>
  <c r="AE721" i="9"/>
  <c r="AD721" i="9"/>
  <c r="AC721" i="9"/>
  <c r="AB721" i="9"/>
  <c r="AA721" i="9"/>
  <c r="AA728" i="9" s="1"/>
  <c r="AA729" i="9" s="1"/>
  <c r="AA730" i="9" s="1"/>
  <c r="Z721" i="9"/>
  <c r="Y721" i="9"/>
  <c r="X721" i="9"/>
  <c r="W721" i="9"/>
  <c r="V721" i="9"/>
  <c r="U721" i="9"/>
  <c r="U728" i="9" s="1"/>
  <c r="U729" i="9" s="1"/>
  <c r="U730" i="9" s="1"/>
  <c r="T721" i="9"/>
  <c r="S721" i="9"/>
  <c r="R721" i="9"/>
  <c r="Q721" i="9"/>
  <c r="AK720" i="9"/>
  <c r="AI712" i="9"/>
  <c r="AG712" i="9"/>
  <c r="AE712" i="9"/>
  <c r="AE713" i="9" s="1"/>
  <c r="AE714" i="9" s="1"/>
  <c r="AC712" i="9"/>
  <c r="AA712" i="9"/>
  <c r="Y712" i="9"/>
  <c r="W712" i="9"/>
  <c r="U712" i="9"/>
  <c r="S712" i="9"/>
  <c r="S713" i="9" s="1"/>
  <c r="S714" i="9" s="1"/>
  <c r="Q712" i="9"/>
  <c r="AJ711" i="9"/>
  <c r="AJ712" i="9" s="1"/>
  <c r="AI711" i="9"/>
  <c r="AH711" i="9"/>
  <c r="AH712" i="9" s="1"/>
  <c r="AG711" i="9"/>
  <c r="AF711" i="9"/>
  <c r="AF712" i="9" s="1"/>
  <c r="AE711" i="9"/>
  <c r="AD711" i="9"/>
  <c r="AD712" i="9" s="1"/>
  <c r="AC711" i="9"/>
  <c r="AB711" i="9"/>
  <c r="AB712" i="9" s="1"/>
  <c r="AA711" i="9"/>
  <c r="Z711" i="9"/>
  <c r="Z712" i="9" s="1"/>
  <c r="Z713" i="9" s="1"/>
  <c r="Z714" i="9" s="1"/>
  <c r="Y711" i="9"/>
  <c r="X711" i="9"/>
  <c r="X712" i="9" s="1"/>
  <c r="W711" i="9"/>
  <c r="V711" i="9"/>
  <c r="V712" i="9" s="1"/>
  <c r="U711" i="9"/>
  <c r="T711" i="9"/>
  <c r="T712" i="9" s="1"/>
  <c r="T713" i="9" s="1"/>
  <c r="T714" i="9" s="1"/>
  <c r="S711" i="9"/>
  <c r="R711" i="9"/>
  <c r="R712" i="9" s="1"/>
  <c r="Q711" i="9"/>
  <c r="AK710" i="9"/>
  <c r="AK711" i="9" s="1"/>
  <c r="AK712" i="9" s="1"/>
  <c r="AH710" i="9"/>
  <c r="AE706" i="9"/>
  <c r="AA706" i="9"/>
  <c r="Y706" i="9"/>
  <c r="U706" i="9"/>
  <c r="S706" i="9"/>
  <c r="AJ705" i="9"/>
  <c r="AI705" i="9"/>
  <c r="AI706" i="9" s="1"/>
  <c r="AH705" i="9"/>
  <c r="AF705" i="9"/>
  <c r="AF706" i="9" s="1"/>
  <c r="AE705" i="9"/>
  <c r="AD705" i="9"/>
  <c r="AD706" i="9" s="1"/>
  <c r="AC705" i="9"/>
  <c r="AC706" i="9" s="1"/>
  <c r="AB705" i="9"/>
  <c r="AA705" i="9"/>
  <c r="Z705" i="9"/>
  <c r="Z706" i="9" s="1"/>
  <c r="Y705" i="9"/>
  <c r="X705" i="9"/>
  <c r="X706" i="9" s="1"/>
  <c r="W705" i="9"/>
  <c r="W706" i="9" s="1"/>
  <c r="V705" i="9"/>
  <c r="U705" i="9"/>
  <c r="T705" i="9"/>
  <c r="T706" i="9" s="1"/>
  <c r="S705" i="9"/>
  <c r="R705" i="9"/>
  <c r="R706" i="9" s="1"/>
  <c r="Q705" i="9"/>
  <c r="Q706" i="9" s="1"/>
  <c r="AK704" i="9"/>
  <c r="AK705" i="9" s="1"/>
  <c r="AJ704" i="9"/>
  <c r="AG704" i="9"/>
  <c r="AG705" i="9" s="1"/>
  <c r="AG706" i="9" s="1"/>
  <c r="AI701" i="9"/>
  <c r="AH701" i="9"/>
  <c r="AG701" i="9"/>
  <c r="AE701" i="9"/>
  <c r="AD701" i="9"/>
  <c r="AC701" i="9"/>
  <c r="AB701" i="9"/>
  <c r="AA701" i="9"/>
  <c r="Z701" i="9"/>
  <c r="Y701" i="9"/>
  <c r="X701" i="9"/>
  <c r="W701" i="9"/>
  <c r="V701" i="9"/>
  <c r="U701" i="9"/>
  <c r="T701" i="9"/>
  <c r="S701" i="9"/>
  <c r="R701" i="9"/>
  <c r="Q701" i="9"/>
  <c r="AK700" i="9"/>
  <c r="AJ700" i="9"/>
  <c r="AJ699" i="9"/>
  <c r="AF699" i="9"/>
  <c r="AF701" i="9" s="1"/>
  <c r="AJ698" i="9"/>
  <c r="T694" i="9"/>
  <c r="AJ693" i="9"/>
  <c r="AI693" i="9"/>
  <c r="AI694" i="9" s="1"/>
  <c r="AF693" i="9"/>
  <c r="AE693" i="9"/>
  <c r="AE694" i="9" s="1"/>
  <c r="AD693" i="9"/>
  <c r="AC693" i="9"/>
  <c r="AC694" i="9" s="1"/>
  <c r="AB693" i="9"/>
  <c r="AA693" i="9"/>
  <c r="Z693" i="9"/>
  <c r="Y693" i="9"/>
  <c r="Y694" i="9" s="1"/>
  <c r="X693" i="9"/>
  <c r="W693" i="9"/>
  <c r="W694" i="9" s="1"/>
  <c r="V693" i="9"/>
  <c r="U693" i="9"/>
  <c r="T693" i="9"/>
  <c r="S693" i="9"/>
  <c r="S694" i="9" s="1"/>
  <c r="R693" i="9"/>
  <c r="Q693" i="9"/>
  <c r="Q694" i="9" s="1"/>
  <c r="AK692" i="9"/>
  <c r="AG692" i="9"/>
  <c r="AH691" i="9"/>
  <c r="AH693" i="9" s="1"/>
  <c r="AH694" i="9" s="1"/>
  <c r="AG691" i="9"/>
  <c r="AK690" i="9"/>
  <c r="AG690" i="9"/>
  <c r="AG693" i="9" s="1"/>
  <c r="AJ687" i="9"/>
  <c r="AI687" i="9"/>
  <c r="AH687" i="9"/>
  <c r="AF687" i="9"/>
  <c r="AE687" i="9"/>
  <c r="AD687" i="9"/>
  <c r="AC687" i="9"/>
  <c r="AB687" i="9"/>
  <c r="AB694" i="9" s="1"/>
  <c r="AA687" i="9"/>
  <c r="Z687" i="9"/>
  <c r="Y687" i="9"/>
  <c r="X687" i="9"/>
  <c r="W687" i="9"/>
  <c r="V687" i="9"/>
  <c r="V694" i="9" s="1"/>
  <c r="U687" i="9"/>
  <c r="T687" i="9"/>
  <c r="S687" i="9"/>
  <c r="R687" i="9"/>
  <c r="Q687" i="9"/>
  <c r="AG686" i="9"/>
  <c r="AK686" i="9" s="1"/>
  <c r="AK687" i="9" s="1"/>
  <c r="AJ683" i="9"/>
  <c r="AI683" i="9"/>
  <c r="AH683" i="9"/>
  <c r="AG683" i="9"/>
  <c r="AF683" i="9"/>
  <c r="AE683" i="9"/>
  <c r="AD683" i="9"/>
  <c r="AC683" i="9"/>
  <c r="AB683" i="9"/>
  <c r="AA683" i="9"/>
  <c r="Z683" i="9"/>
  <c r="Z694" i="9" s="1"/>
  <c r="Y683" i="9"/>
  <c r="X683" i="9"/>
  <c r="W683" i="9"/>
  <c r="V683" i="9"/>
  <c r="U683" i="9"/>
  <c r="T683" i="9"/>
  <c r="S683" i="9"/>
  <c r="R683" i="9"/>
  <c r="Q683" i="9"/>
  <c r="AK682" i="9"/>
  <c r="AK683" i="9" s="1"/>
  <c r="AJ679" i="9"/>
  <c r="AI679" i="9"/>
  <c r="AH679" i="9"/>
  <c r="AE679" i="9"/>
  <c r="AD679" i="9"/>
  <c r="AC679" i="9"/>
  <c r="AB679" i="9"/>
  <c r="AA679" i="9"/>
  <c r="Z679" i="9"/>
  <c r="Y679" i="9"/>
  <c r="X679" i="9"/>
  <c r="W679" i="9"/>
  <c r="V679" i="9"/>
  <c r="U679" i="9"/>
  <c r="T679" i="9"/>
  <c r="S679" i="9"/>
  <c r="R679" i="9"/>
  <c r="Q679" i="9"/>
  <c r="P679" i="9"/>
  <c r="AF678" i="9"/>
  <c r="AK678" i="9" s="1"/>
  <c r="AG677" i="9"/>
  <c r="AI668" i="9"/>
  <c r="AC668" i="9"/>
  <c r="W668" i="9"/>
  <c r="Q668" i="9"/>
  <c r="AJ667" i="9"/>
  <c r="AJ668" i="9" s="1"/>
  <c r="AI667" i="9"/>
  <c r="AH667" i="9"/>
  <c r="AH668" i="9" s="1"/>
  <c r="AG667" i="9"/>
  <c r="AG668" i="9" s="1"/>
  <c r="AE667" i="9"/>
  <c r="AE668" i="9" s="1"/>
  <c r="AD667" i="9"/>
  <c r="AD668" i="9" s="1"/>
  <c r="AC667" i="9"/>
  <c r="AB667" i="9"/>
  <c r="AB668" i="9" s="1"/>
  <c r="AA667" i="9"/>
  <c r="AA668" i="9" s="1"/>
  <c r="Z667" i="9"/>
  <c r="Z668" i="9" s="1"/>
  <c r="Y667" i="9"/>
  <c r="Y668" i="9" s="1"/>
  <c r="X667" i="9"/>
  <c r="X668" i="9" s="1"/>
  <c r="W667" i="9"/>
  <c r="V667" i="9"/>
  <c r="V668" i="9" s="1"/>
  <c r="U667" i="9"/>
  <c r="U668" i="9" s="1"/>
  <c r="T667" i="9"/>
  <c r="T668" i="9" s="1"/>
  <c r="S667" i="9"/>
  <c r="S668" i="9" s="1"/>
  <c r="R667" i="9"/>
  <c r="R668" i="9" s="1"/>
  <c r="Q667" i="9"/>
  <c r="AK666" i="9"/>
  <c r="AF665" i="9"/>
  <c r="AK665" i="9" s="1"/>
  <c r="AK664" i="9"/>
  <c r="AG660" i="9"/>
  <c r="AA660" i="9"/>
  <c r="U660" i="9"/>
  <c r="AJ659" i="9"/>
  <c r="AI659" i="9"/>
  <c r="AH659" i="9"/>
  <c r="AG659" i="9"/>
  <c r="AE659" i="9"/>
  <c r="AE660" i="9" s="1"/>
  <c r="AD659" i="9"/>
  <c r="AC659" i="9"/>
  <c r="AB659" i="9"/>
  <c r="AA659" i="9"/>
  <c r="Z659" i="9"/>
  <c r="Z660" i="9" s="1"/>
  <c r="Y659" i="9"/>
  <c r="X659" i="9"/>
  <c r="W659" i="9"/>
  <c r="V659" i="9"/>
  <c r="U659" i="9"/>
  <c r="T659" i="9"/>
  <c r="T660" i="9" s="1"/>
  <c r="S659" i="9"/>
  <c r="S660" i="9" s="1"/>
  <c r="R659" i="9"/>
  <c r="Q659" i="9"/>
  <c r="AK658" i="9"/>
  <c r="AF657" i="9"/>
  <c r="AK657" i="9" s="1"/>
  <c r="AK659" i="9" s="1"/>
  <c r="AJ654" i="9"/>
  <c r="AI654" i="9"/>
  <c r="AH654" i="9"/>
  <c r="AG654" i="9"/>
  <c r="AF654" i="9"/>
  <c r="AE654" i="9"/>
  <c r="AD654" i="9"/>
  <c r="AC654" i="9"/>
  <c r="AB654" i="9"/>
  <c r="AA654" i="9"/>
  <c r="Z654" i="9"/>
  <c r="Y654" i="9"/>
  <c r="X654" i="9"/>
  <c r="W654" i="9"/>
  <c r="V654" i="9"/>
  <c r="U654" i="9"/>
  <c r="T654" i="9"/>
  <c r="S654" i="9"/>
  <c r="R654" i="9"/>
  <c r="Q654" i="9"/>
  <c r="AK653" i="9"/>
  <c r="AK652" i="9"/>
  <c r="AK654" i="9" s="1"/>
  <c r="AJ649" i="9"/>
  <c r="AI649" i="9"/>
  <c r="AH649" i="9"/>
  <c r="AG649" i="9"/>
  <c r="AE649" i="9"/>
  <c r="AD649" i="9"/>
  <c r="AC649" i="9"/>
  <c r="AB649" i="9"/>
  <c r="AA649" i="9"/>
  <c r="Z649" i="9"/>
  <c r="Y649" i="9"/>
  <c r="X649" i="9"/>
  <c r="W649" i="9"/>
  <c r="V649" i="9"/>
  <c r="U649" i="9"/>
  <c r="T649" i="9"/>
  <c r="S649" i="9"/>
  <c r="R649" i="9"/>
  <c r="Q649" i="9"/>
  <c r="AF648" i="9"/>
  <c r="AK648" i="9" s="1"/>
  <c r="AK647" i="9"/>
  <c r="AK646" i="9"/>
  <c r="AK649" i="9" s="1"/>
  <c r="AJ643" i="9"/>
  <c r="AI643" i="9"/>
  <c r="AH643" i="9"/>
  <c r="AG643" i="9"/>
  <c r="AF643" i="9"/>
  <c r="AE643" i="9"/>
  <c r="AD643" i="9"/>
  <c r="AC643" i="9"/>
  <c r="AB643" i="9"/>
  <c r="AA643" i="9"/>
  <c r="Z643" i="9"/>
  <c r="Y643" i="9"/>
  <c r="X643" i="9"/>
  <c r="W643" i="9"/>
  <c r="V643" i="9"/>
  <c r="U643" i="9"/>
  <c r="T643" i="9"/>
  <c r="S643" i="9"/>
  <c r="R643" i="9"/>
  <c r="Q643" i="9"/>
  <c r="AK642" i="9"/>
  <c r="AK643" i="9" s="1"/>
  <c r="AI639" i="9"/>
  <c r="AH639" i="9"/>
  <c r="AG639" i="9"/>
  <c r="AF639" i="9"/>
  <c r="AE639" i="9"/>
  <c r="AD639" i="9"/>
  <c r="AC639" i="9"/>
  <c r="AB639" i="9"/>
  <c r="AA639" i="9"/>
  <c r="Z639" i="9"/>
  <c r="X639" i="9"/>
  <c r="W639" i="9"/>
  <c r="V639" i="9"/>
  <c r="U639" i="9"/>
  <c r="T639" i="9"/>
  <c r="S639" i="9"/>
  <c r="R639" i="9"/>
  <c r="Q639" i="9"/>
  <c r="AK638" i="9"/>
  <c r="AJ637" i="9"/>
  <c r="AJ639" i="9" s="1"/>
  <c r="Z637" i="9"/>
  <c r="Y637" i="9"/>
  <c r="AK637" i="9" s="1"/>
  <c r="AK636" i="9"/>
  <c r="AE632" i="9"/>
  <c r="Y632" i="9"/>
  <c r="S632" i="9"/>
  <c r="AJ631" i="9"/>
  <c r="AJ632" i="9" s="1"/>
  <c r="AI631" i="9"/>
  <c r="AH631" i="9"/>
  <c r="AH632" i="9" s="1"/>
  <c r="AG631" i="9"/>
  <c r="AF631" i="9"/>
  <c r="AE631" i="9"/>
  <c r="AD631" i="9"/>
  <c r="AD632" i="9" s="1"/>
  <c r="AC631" i="9"/>
  <c r="AB631" i="9"/>
  <c r="AB632" i="9" s="1"/>
  <c r="AA631" i="9"/>
  <c r="Z631" i="9"/>
  <c r="Y631" i="9"/>
  <c r="X631" i="9"/>
  <c r="X632" i="9" s="1"/>
  <c r="W631" i="9"/>
  <c r="V631" i="9"/>
  <c r="V632" i="9" s="1"/>
  <c r="U631" i="9"/>
  <c r="T631" i="9"/>
  <c r="S631" i="9"/>
  <c r="R631" i="9"/>
  <c r="R632" i="9" s="1"/>
  <c r="Q631" i="9"/>
  <c r="AK630" i="9"/>
  <c r="AK631" i="9" s="1"/>
  <c r="Z630" i="9"/>
  <c r="AJ627" i="9"/>
  <c r="AI627" i="9"/>
  <c r="AI632" i="9" s="1"/>
  <c r="AH627" i="9"/>
  <c r="AG627" i="9"/>
  <c r="AG632" i="9" s="1"/>
  <c r="AF627" i="9"/>
  <c r="AE627" i="9"/>
  <c r="AD627" i="9"/>
  <c r="AC627" i="9"/>
  <c r="AC632" i="9" s="1"/>
  <c r="AB627" i="9"/>
  <c r="AA627" i="9"/>
  <c r="AA632" i="9" s="1"/>
  <c r="Y627" i="9"/>
  <c r="X627" i="9"/>
  <c r="W627" i="9"/>
  <c r="W632" i="9" s="1"/>
  <c r="V627" i="9"/>
  <c r="U627" i="9"/>
  <c r="U632" i="9" s="1"/>
  <c r="T627" i="9"/>
  <c r="S627" i="9"/>
  <c r="R627" i="9"/>
  <c r="Q627" i="9"/>
  <c r="Q632" i="9" s="1"/>
  <c r="Z626" i="9"/>
  <c r="AJ623" i="9"/>
  <c r="AI623" i="9"/>
  <c r="AH623" i="9"/>
  <c r="AG623" i="9"/>
  <c r="AF623" i="9"/>
  <c r="AE623" i="9"/>
  <c r="AD623" i="9"/>
  <c r="AC623" i="9"/>
  <c r="AB623" i="9"/>
  <c r="AA623" i="9"/>
  <c r="Z623" i="9"/>
  <c r="Y623" i="9"/>
  <c r="X623" i="9"/>
  <c r="W623" i="9"/>
  <c r="V623" i="9"/>
  <c r="U623" i="9"/>
  <c r="T623" i="9"/>
  <c r="S623" i="9"/>
  <c r="R623" i="9"/>
  <c r="Q623" i="9"/>
  <c r="AK622" i="9"/>
  <c r="AK623" i="9" s="1"/>
  <c r="R618" i="9"/>
  <c r="AJ617" i="9"/>
  <c r="AI617" i="9"/>
  <c r="AH617" i="9"/>
  <c r="AG617" i="9"/>
  <c r="AF617" i="9"/>
  <c r="AE617" i="9"/>
  <c r="AD617" i="9"/>
  <c r="AC617" i="9"/>
  <c r="AB617" i="9"/>
  <c r="AA617" i="9"/>
  <c r="Z617" i="9"/>
  <c r="Y617" i="9"/>
  <c r="Y618" i="9" s="1"/>
  <c r="W617" i="9"/>
  <c r="V617" i="9"/>
  <c r="U617" i="9"/>
  <c r="T617" i="9"/>
  <c r="S617" i="9"/>
  <c r="R617" i="9"/>
  <c r="Q617" i="9"/>
  <c r="X616" i="9"/>
  <c r="AK616" i="9" s="1"/>
  <c r="X615" i="9"/>
  <c r="AK615" i="9" s="1"/>
  <c r="X614" i="9"/>
  <c r="AJ611" i="9"/>
  <c r="AI611" i="9"/>
  <c r="AH611" i="9"/>
  <c r="AG611" i="9"/>
  <c r="AF611" i="9"/>
  <c r="AE611" i="9"/>
  <c r="AD611" i="9"/>
  <c r="AC611" i="9"/>
  <c r="AB611" i="9"/>
  <c r="AA611" i="9"/>
  <c r="Z611" i="9"/>
  <c r="Y611" i="9"/>
  <c r="X611" i="9"/>
  <c r="W611" i="9"/>
  <c r="V611" i="9"/>
  <c r="U611" i="9"/>
  <c r="T611" i="9"/>
  <c r="S611" i="9"/>
  <c r="R611" i="9"/>
  <c r="Q611" i="9"/>
  <c r="AK610" i="9"/>
  <c r="X609" i="9"/>
  <c r="AK609" i="9" s="1"/>
  <c r="AK611" i="9" s="1"/>
  <c r="AJ606" i="9"/>
  <c r="AI606" i="9"/>
  <c r="AH606" i="9"/>
  <c r="AG606" i="9"/>
  <c r="AF606" i="9"/>
  <c r="AE606" i="9"/>
  <c r="AD606" i="9"/>
  <c r="AC606" i="9"/>
  <c r="AB606" i="9"/>
  <c r="AA606" i="9"/>
  <c r="Z606" i="9"/>
  <c r="Y606" i="9"/>
  <c r="X606" i="9"/>
  <c r="W606" i="9"/>
  <c r="V606" i="9"/>
  <c r="U606" i="9"/>
  <c r="T606" i="9"/>
  <c r="S606" i="9"/>
  <c r="R606" i="9"/>
  <c r="Q606" i="9"/>
  <c r="X605" i="9"/>
  <c r="AK605" i="9" s="1"/>
  <c r="AK604" i="9"/>
  <c r="X604" i="9"/>
  <c r="AK603" i="9"/>
  <c r="X603" i="9"/>
  <c r="AK602" i="9"/>
  <c r="X602" i="9"/>
  <c r="AK599" i="9"/>
  <c r="AJ599" i="9"/>
  <c r="AI599" i="9"/>
  <c r="AH599" i="9"/>
  <c r="AG599" i="9"/>
  <c r="AF599" i="9"/>
  <c r="AE599" i="9"/>
  <c r="AD599" i="9"/>
  <c r="AC599" i="9"/>
  <c r="AB599" i="9"/>
  <c r="Z599" i="9"/>
  <c r="Y599" i="9"/>
  <c r="W599" i="9"/>
  <c r="V599" i="9"/>
  <c r="U599" i="9"/>
  <c r="T599" i="9"/>
  <c r="S599" i="9"/>
  <c r="R599" i="9"/>
  <c r="Q599" i="9"/>
  <c r="AA598" i="9"/>
  <c r="AK598" i="9" s="1"/>
  <c r="AK597" i="9"/>
  <c r="AK596" i="9"/>
  <c r="X596" i="9"/>
  <c r="X599" i="9" s="1"/>
  <c r="AK593" i="9"/>
  <c r="AJ593" i="9"/>
  <c r="AI593" i="9"/>
  <c r="AH593" i="9"/>
  <c r="AG593" i="9"/>
  <c r="AF593" i="9"/>
  <c r="AE593" i="9"/>
  <c r="AD593" i="9"/>
  <c r="AC593" i="9"/>
  <c r="AB593" i="9"/>
  <c r="AA593" i="9"/>
  <c r="Z593" i="9"/>
  <c r="Y593" i="9"/>
  <c r="X593" i="9"/>
  <c r="W593" i="9"/>
  <c r="V593" i="9"/>
  <c r="U593" i="9"/>
  <c r="T593" i="9"/>
  <c r="S593" i="9"/>
  <c r="R593" i="9"/>
  <c r="Q593" i="9"/>
  <c r="AK592" i="9"/>
  <c r="AK591" i="9"/>
  <c r="AJ588" i="9"/>
  <c r="AI588" i="9"/>
  <c r="AH588" i="9"/>
  <c r="AG588" i="9"/>
  <c r="AF588" i="9"/>
  <c r="AE588" i="9"/>
  <c r="AD588" i="9"/>
  <c r="AC588" i="9"/>
  <c r="AB588" i="9"/>
  <c r="AA588" i="9"/>
  <c r="Z588" i="9"/>
  <c r="Y588" i="9"/>
  <c r="X588" i="9"/>
  <c r="W588" i="9"/>
  <c r="V588" i="9"/>
  <c r="U588" i="9"/>
  <c r="T588" i="9"/>
  <c r="S588" i="9"/>
  <c r="R588" i="9"/>
  <c r="Q588" i="9"/>
  <c r="AK587" i="9"/>
  <c r="AK586" i="9"/>
  <c r="AI583" i="9"/>
  <c r="AH583" i="9"/>
  <c r="AG583" i="9"/>
  <c r="AF583" i="9"/>
  <c r="AE583" i="9"/>
  <c r="AD583" i="9"/>
  <c r="AC583" i="9"/>
  <c r="AB583" i="9"/>
  <c r="AA583" i="9"/>
  <c r="Z583" i="9"/>
  <c r="Y583" i="9"/>
  <c r="W583" i="9"/>
  <c r="V583" i="9"/>
  <c r="U583" i="9"/>
  <c r="T583" i="9"/>
  <c r="S583" i="9"/>
  <c r="R583" i="9"/>
  <c r="Q583" i="9"/>
  <c r="AK582" i="9"/>
  <c r="X581" i="9"/>
  <c r="AK581" i="9" s="1"/>
  <c r="AK580" i="9"/>
  <c r="AJ580" i="9"/>
  <c r="AJ583" i="9" s="1"/>
  <c r="X580" i="9"/>
  <c r="AK579" i="9"/>
  <c r="AK578" i="9"/>
  <c r="AJ575" i="9"/>
  <c r="AI575" i="9"/>
  <c r="AH575" i="9"/>
  <c r="AG575" i="9"/>
  <c r="AF575" i="9"/>
  <c r="AE575" i="9"/>
  <c r="AD575" i="9"/>
  <c r="AC575" i="9"/>
  <c r="AB575" i="9"/>
  <c r="AA575" i="9"/>
  <c r="Z575" i="9"/>
  <c r="Y575" i="9"/>
  <c r="X575" i="9"/>
  <c r="W575" i="9"/>
  <c r="V575" i="9"/>
  <c r="U575" i="9"/>
  <c r="T575" i="9"/>
  <c r="S575" i="9"/>
  <c r="R575" i="9"/>
  <c r="Q575" i="9"/>
  <c r="AK574" i="9"/>
  <c r="AK575" i="9" s="1"/>
  <c r="AK573" i="9"/>
  <c r="AK572" i="9"/>
  <c r="AJ569" i="9"/>
  <c r="AI569" i="9"/>
  <c r="AH569" i="9"/>
  <c r="AG569" i="9"/>
  <c r="AF569" i="9"/>
  <c r="AE569" i="9"/>
  <c r="AD569" i="9"/>
  <c r="AC569" i="9"/>
  <c r="AB569" i="9"/>
  <c r="AA569" i="9"/>
  <c r="Z569" i="9"/>
  <c r="Y569" i="9"/>
  <c r="X569" i="9"/>
  <c r="W569" i="9"/>
  <c r="V569" i="9"/>
  <c r="U569" i="9"/>
  <c r="T569" i="9"/>
  <c r="S569" i="9"/>
  <c r="R569" i="9"/>
  <c r="Q569" i="9"/>
  <c r="AK568" i="9"/>
  <c r="X568" i="9"/>
  <c r="X567" i="9"/>
  <c r="AK567" i="9" s="1"/>
  <c r="AK566" i="9"/>
  <c r="X566" i="9"/>
  <c r="AJ563" i="9"/>
  <c r="AI563" i="9"/>
  <c r="AH563" i="9"/>
  <c r="AG563" i="9"/>
  <c r="AF563" i="9"/>
  <c r="AE563" i="9"/>
  <c r="AD563" i="9"/>
  <c r="AC563" i="9"/>
  <c r="AB563" i="9"/>
  <c r="AA563" i="9"/>
  <c r="Z563" i="9"/>
  <c r="Y563" i="9"/>
  <c r="W563" i="9"/>
  <c r="V563" i="9"/>
  <c r="U563" i="9"/>
  <c r="T563" i="9"/>
  <c r="S563" i="9"/>
  <c r="R563" i="9"/>
  <c r="Q563" i="9"/>
  <c r="X562" i="9"/>
  <c r="AK562" i="9" s="1"/>
  <c r="X561" i="9"/>
  <c r="AK561" i="9" s="1"/>
  <c r="AK560" i="9"/>
  <c r="X560" i="9"/>
  <c r="AK559" i="9"/>
  <c r="AK556" i="9"/>
  <c r="AJ556" i="9"/>
  <c r="AI556" i="9"/>
  <c r="AH556" i="9"/>
  <c r="AG556" i="9"/>
  <c r="AF556" i="9"/>
  <c r="AE556" i="9"/>
  <c r="AD556" i="9"/>
  <c r="AC556" i="9"/>
  <c r="AB556" i="9"/>
  <c r="AA556" i="9"/>
  <c r="Z556" i="9"/>
  <c r="Y556" i="9"/>
  <c r="X556" i="9"/>
  <c r="W556" i="9"/>
  <c r="V556" i="9"/>
  <c r="U556" i="9"/>
  <c r="T556" i="9"/>
  <c r="S556" i="9"/>
  <c r="R556" i="9"/>
  <c r="Q556" i="9"/>
  <c r="AK555" i="9"/>
  <c r="AK554" i="9"/>
  <c r="AJ550" i="9"/>
  <c r="AI550" i="9"/>
  <c r="AE550" i="9"/>
  <c r="AD550" i="9"/>
  <c r="AC550" i="9"/>
  <c r="Y550" i="9"/>
  <c r="W550" i="9"/>
  <c r="S550" i="9"/>
  <c r="R550" i="9"/>
  <c r="Q550" i="9"/>
  <c r="AJ549" i="9"/>
  <c r="AI549" i="9"/>
  <c r="AH549" i="9"/>
  <c r="AH550" i="9" s="1"/>
  <c r="AG549" i="9"/>
  <c r="AG550" i="9" s="1"/>
  <c r="AF549" i="9"/>
  <c r="AF550" i="9" s="1"/>
  <c r="AE549" i="9"/>
  <c r="AD549" i="9"/>
  <c r="AC549" i="9"/>
  <c r="AB549" i="9"/>
  <c r="AB550" i="9" s="1"/>
  <c r="AA549" i="9"/>
  <c r="AA550" i="9" s="1"/>
  <c r="Z549" i="9"/>
  <c r="Z550" i="9" s="1"/>
  <c r="Y549" i="9"/>
  <c r="W549" i="9"/>
  <c r="V549" i="9"/>
  <c r="V550" i="9" s="1"/>
  <c r="U549" i="9"/>
  <c r="U550" i="9" s="1"/>
  <c r="T549" i="9"/>
  <c r="T550" i="9" s="1"/>
  <c r="S549" i="9"/>
  <c r="R549" i="9"/>
  <c r="Q549" i="9"/>
  <c r="AK548" i="9"/>
  <c r="AK547" i="9"/>
  <c r="X546" i="9"/>
  <c r="AK546" i="9" s="1"/>
  <c r="AK549" i="9" s="1"/>
  <c r="AK550" i="9" s="1"/>
  <c r="AB540" i="9"/>
  <c r="AI538" i="9"/>
  <c r="AI539" i="9" s="1"/>
  <c r="AI540" i="9" s="1"/>
  <c r="AH538" i="9"/>
  <c r="AH539" i="9" s="1"/>
  <c r="AH540" i="9" s="1"/>
  <c r="AG538" i="9"/>
  <c r="AG539" i="9" s="1"/>
  <c r="AG540" i="9" s="1"/>
  <c r="AC538" i="9"/>
  <c r="AC539" i="9" s="1"/>
  <c r="AC540" i="9" s="1"/>
  <c r="AB538" i="9"/>
  <c r="AB539" i="9" s="1"/>
  <c r="AA538" i="9"/>
  <c r="AA539" i="9" s="1"/>
  <c r="AA540" i="9" s="1"/>
  <c r="W538" i="9"/>
  <c r="W539" i="9" s="1"/>
  <c r="W540" i="9" s="1"/>
  <c r="V538" i="9"/>
  <c r="V539" i="9" s="1"/>
  <c r="V540" i="9" s="1"/>
  <c r="U538" i="9"/>
  <c r="U539" i="9" s="1"/>
  <c r="U540" i="9" s="1"/>
  <c r="Q538" i="9"/>
  <c r="Q539" i="9" s="1"/>
  <c r="Q540" i="9" s="1"/>
  <c r="AK537" i="9"/>
  <c r="AK538" i="9" s="1"/>
  <c r="AK539" i="9" s="1"/>
  <c r="AK540" i="9" s="1"/>
  <c r="AJ537" i="9"/>
  <c r="AJ538" i="9" s="1"/>
  <c r="AJ539" i="9" s="1"/>
  <c r="AJ540" i="9" s="1"/>
  <c r="AI537" i="9"/>
  <c r="AH537" i="9"/>
  <c r="AG537" i="9"/>
  <c r="AF537" i="9"/>
  <c r="AF538" i="9" s="1"/>
  <c r="AF539" i="9" s="1"/>
  <c r="AF540" i="9" s="1"/>
  <c r="AE537" i="9"/>
  <c r="AE538" i="9" s="1"/>
  <c r="AE539" i="9" s="1"/>
  <c r="AE540" i="9" s="1"/>
  <c r="AD537" i="9"/>
  <c r="AD538" i="9" s="1"/>
  <c r="AD539" i="9" s="1"/>
  <c r="AD540" i="9" s="1"/>
  <c r="AC537" i="9"/>
  <c r="AB537" i="9"/>
  <c r="AA537" i="9"/>
  <c r="Z537" i="9"/>
  <c r="Z538" i="9" s="1"/>
  <c r="Z539" i="9" s="1"/>
  <c r="Z540" i="9" s="1"/>
  <c r="Y537" i="9"/>
  <c r="Y538" i="9" s="1"/>
  <c r="Y539" i="9" s="1"/>
  <c r="Y540" i="9" s="1"/>
  <c r="X537" i="9"/>
  <c r="X538" i="9" s="1"/>
  <c r="X539" i="9" s="1"/>
  <c r="X540" i="9" s="1"/>
  <c r="W537" i="9"/>
  <c r="V537" i="9"/>
  <c r="U537" i="9"/>
  <c r="T537" i="9"/>
  <c r="T538" i="9" s="1"/>
  <c r="T539" i="9" s="1"/>
  <c r="T540" i="9" s="1"/>
  <c r="S537" i="9"/>
  <c r="S538" i="9" s="1"/>
  <c r="S539" i="9" s="1"/>
  <c r="S540" i="9" s="1"/>
  <c r="R537" i="9"/>
  <c r="R538" i="9" s="1"/>
  <c r="R539" i="9" s="1"/>
  <c r="R540" i="9" s="1"/>
  <c r="Q537" i="9"/>
  <c r="AK536" i="9"/>
  <c r="AJ528" i="9"/>
  <c r="AI528" i="9"/>
  <c r="AH528" i="9"/>
  <c r="AD528" i="9"/>
  <c r="AC528" i="9"/>
  <c r="AB528" i="9"/>
  <c r="X528" i="9"/>
  <c r="W528" i="9"/>
  <c r="V528" i="9"/>
  <c r="Q528" i="9"/>
  <c r="AJ527" i="9"/>
  <c r="AI527" i="9"/>
  <c r="AH527" i="9"/>
  <c r="AG527" i="9"/>
  <c r="AG528" i="9" s="1"/>
  <c r="AF527" i="9"/>
  <c r="AF528" i="9" s="1"/>
  <c r="AE527" i="9"/>
  <c r="AE528" i="9" s="1"/>
  <c r="AD527" i="9"/>
  <c r="AC527" i="9"/>
  <c r="AB527" i="9"/>
  <c r="AA527" i="9"/>
  <c r="AA528" i="9" s="1"/>
  <c r="Z527" i="9"/>
  <c r="Z528" i="9" s="1"/>
  <c r="Y527" i="9"/>
  <c r="Y528" i="9" s="1"/>
  <c r="X527" i="9"/>
  <c r="W527" i="9"/>
  <c r="V527" i="9"/>
  <c r="U527" i="9"/>
  <c r="U528" i="9" s="1"/>
  <c r="T527" i="9"/>
  <c r="T528" i="9" s="1"/>
  <c r="T529" i="9" s="1"/>
  <c r="T530" i="9" s="1"/>
  <c r="S527" i="9"/>
  <c r="S528" i="9" s="1"/>
  <c r="Q527" i="9"/>
  <c r="R526" i="9"/>
  <c r="R527" i="9" s="1"/>
  <c r="R528" i="9" s="1"/>
  <c r="AK525" i="9"/>
  <c r="R525" i="9"/>
  <c r="AF524" i="9"/>
  <c r="AK524" i="9" s="1"/>
  <c r="AF523" i="9"/>
  <c r="AK523" i="9" s="1"/>
  <c r="S519" i="9"/>
  <c r="AJ518" i="9"/>
  <c r="AI518" i="9"/>
  <c r="AI519" i="9" s="1"/>
  <c r="AH518" i="9"/>
  <c r="AG518" i="9"/>
  <c r="AF518" i="9"/>
  <c r="AE518" i="9"/>
  <c r="AD518" i="9"/>
  <c r="AD519" i="9" s="1"/>
  <c r="AC518" i="9"/>
  <c r="AC519" i="9" s="1"/>
  <c r="AB518" i="9"/>
  <c r="AA518" i="9"/>
  <c r="Z518" i="9"/>
  <c r="Y518" i="9"/>
  <c r="X518" i="9"/>
  <c r="W518" i="9"/>
  <c r="W519" i="9" s="1"/>
  <c r="V518" i="9"/>
  <c r="U518" i="9"/>
  <c r="T518" i="9"/>
  <c r="S518" i="9"/>
  <c r="R518" i="9"/>
  <c r="Q518" i="9"/>
  <c r="Q519" i="9" s="1"/>
  <c r="AK517" i="9"/>
  <c r="AK518" i="9" s="1"/>
  <c r="AF517" i="9"/>
  <c r="AJ514" i="9"/>
  <c r="AJ519" i="9" s="1"/>
  <c r="AI514" i="9"/>
  <c r="AH514" i="9"/>
  <c r="AG514" i="9"/>
  <c r="AE514" i="9"/>
  <c r="AD514" i="9"/>
  <c r="AC514" i="9"/>
  <c r="AB514" i="9"/>
  <c r="AA514" i="9"/>
  <c r="Z514" i="9"/>
  <c r="Y514" i="9"/>
  <c r="X514" i="9"/>
  <c r="X519" i="9" s="1"/>
  <c r="W514" i="9"/>
  <c r="V514" i="9"/>
  <c r="U514" i="9"/>
  <c r="T514" i="9"/>
  <c r="S514" i="9"/>
  <c r="R514" i="9"/>
  <c r="R519" i="9" s="1"/>
  <c r="Q514" i="9"/>
  <c r="AK513" i="9"/>
  <c r="AK514" i="9" s="1"/>
  <c r="AF513" i="9"/>
  <c r="AF514" i="9" s="1"/>
  <c r="AJ510" i="9"/>
  <c r="AI510" i="9"/>
  <c r="AH510" i="9"/>
  <c r="AG510" i="9"/>
  <c r="AF510" i="9"/>
  <c r="AE510" i="9"/>
  <c r="AD510" i="9"/>
  <c r="AC510" i="9"/>
  <c r="AB510" i="9"/>
  <c r="AA510" i="9"/>
  <c r="Z510" i="9"/>
  <c r="Z519" i="9" s="1"/>
  <c r="Z529" i="9" s="1"/>
  <c r="Z530" i="9" s="1"/>
  <c r="Y510" i="9"/>
  <c r="X510" i="9"/>
  <c r="W510" i="9"/>
  <c r="V510" i="9"/>
  <c r="U510" i="9"/>
  <c r="T510" i="9"/>
  <c r="T519" i="9" s="1"/>
  <c r="S510" i="9"/>
  <c r="R510" i="9"/>
  <c r="Q510" i="9"/>
  <c r="AF509" i="9"/>
  <c r="AK509" i="9" s="1"/>
  <c r="AK510" i="9" s="1"/>
  <c r="AJ506" i="9"/>
  <c r="AI506" i="9"/>
  <c r="AH506" i="9"/>
  <c r="AG506" i="9"/>
  <c r="AE506" i="9"/>
  <c r="AE519" i="9" s="1"/>
  <c r="AD506" i="9"/>
  <c r="AC506" i="9"/>
  <c r="AB506" i="9"/>
  <c r="AA506" i="9"/>
  <c r="Z506" i="9"/>
  <c r="Y506" i="9"/>
  <c r="Y519" i="9" s="1"/>
  <c r="X506" i="9"/>
  <c r="W506" i="9"/>
  <c r="V506" i="9"/>
  <c r="U506" i="9"/>
  <c r="T506" i="9"/>
  <c r="S506" i="9"/>
  <c r="R506" i="9"/>
  <c r="Q506" i="9"/>
  <c r="AK505" i="9"/>
  <c r="AF505" i="9"/>
  <c r="AF504" i="9"/>
  <c r="AF506" i="9" s="1"/>
  <c r="AJ501" i="9"/>
  <c r="AI501" i="9"/>
  <c r="AH501" i="9"/>
  <c r="AG501" i="9"/>
  <c r="AE501" i="9"/>
  <c r="AD501" i="9"/>
  <c r="AC501" i="9"/>
  <c r="AB501" i="9"/>
  <c r="AA501" i="9"/>
  <c r="Z501" i="9"/>
  <c r="Y501" i="9"/>
  <c r="X501" i="9"/>
  <c r="W501" i="9"/>
  <c r="V501" i="9"/>
  <c r="U501" i="9"/>
  <c r="T501" i="9"/>
  <c r="S501" i="9"/>
  <c r="R501" i="9"/>
  <c r="Q501" i="9"/>
  <c r="AF500" i="9"/>
  <c r="AK500" i="9" s="1"/>
  <c r="AK499" i="9"/>
  <c r="AF499" i="9"/>
  <c r="AG495" i="9"/>
  <c r="AA495" i="9"/>
  <c r="U495" i="9"/>
  <c r="AK494" i="9"/>
  <c r="AJ494" i="9"/>
  <c r="AI494" i="9"/>
  <c r="AH494" i="9"/>
  <c r="AG494" i="9"/>
  <c r="AE494" i="9"/>
  <c r="AD494" i="9"/>
  <c r="AC494" i="9"/>
  <c r="AB494" i="9"/>
  <c r="AA494" i="9"/>
  <c r="Z494" i="9"/>
  <c r="Y494" i="9"/>
  <c r="X494" i="9"/>
  <c r="W494" i="9"/>
  <c r="V494" i="9"/>
  <c r="U494" i="9"/>
  <c r="T494" i="9"/>
  <c r="S494" i="9"/>
  <c r="R494" i="9"/>
  <c r="Q494" i="9"/>
  <c r="AF493" i="9"/>
  <c r="AK493" i="9" s="1"/>
  <c r="AJ490" i="9"/>
  <c r="AI490" i="9"/>
  <c r="AH490" i="9"/>
  <c r="AG490" i="9"/>
  <c r="AF490" i="9"/>
  <c r="AE490" i="9"/>
  <c r="AD490" i="9"/>
  <c r="AC490" i="9"/>
  <c r="AB490" i="9"/>
  <c r="AA490" i="9"/>
  <c r="Z490" i="9"/>
  <c r="Z495" i="9" s="1"/>
  <c r="Y490" i="9"/>
  <c r="X490" i="9"/>
  <c r="W490" i="9"/>
  <c r="V490" i="9"/>
  <c r="U490" i="9"/>
  <c r="T490" i="9"/>
  <c r="T495" i="9" s="1"/>
  <c r="S490" i="9"/>
  <c r="R490" i="9"/>
  <c r="Q490" i="9"/>
  <c r="AF489" i="9"/>
  <c r="AK489" i="9" s="1"/>
  <c r="AK488" i="9"/>
  <c r="AF488" i="9"/>
  <c r="AK487" i="9"/>
  <c r="AK490" i="9" s="1"/>
  <c r="AJ484" i="9"/>
  <c r="AI484" i="9"/>
  <c r="AH484" i="9"/>
  <c r="AH495" i="9" s="1"/>
  <c r="AG484" i="9"/>
  <c r="AE484" i="9"/>
  <c r="AD484" i="9"/>
  <c r="AC484" i="9"/>
  <c r="AB484" i="9"/>
  <c r="AB495" i="9" s="1"/>
  <c r="AA484" i="9"/>
  <c r="Z484" i="9"/>
  <c r="Y484" i="9"/>
  <c r="X484" i="9"/>
  <c r="W484" i="9"/>
  <c r="V484" i="9"/>
  <c r="V495" i="9" s="1"/>
  <c r="U484" i="9"/>
  <c r="T484" i="9"/>
  <c r="S484" i="9"/>
  <c r="R484" i="9"/>
  <c r="Q484" i="9"/>
  <c r="AK483" i="9"/>
  <c r="AF483" i="9"/>
  <c r="AF482" i="9"/>
  <c r="AK482" i="9" s="1"/>
  <c r="AK484" i="9" s="1"/>
  <c r="AF481" i="9"/>
  <c r="AK481" i="9" s="1"/>
  <c r="AJ478" i="9"/>
  <c r="AI478" i="9"/>
  <c r="AH478" i="9"/>
  <c r="AG478" i="9"/>
  <c r="AF478" i="9"/>
  <c r="AE478" i="9"/>
  <c r="AD478" i="9"/>
  <c r="AC478" i="9"/>
  <c r="AB478" i="9"/>
  <c r="AA478" i="9"/>
  <c r="Z478" i="9"/>
  <c r="Y478" i="9"/>
  <c r="X478" i="9"/>
  <c r="W478" i="9"/>
  <c r="V478" i="9"/>
  <c r="U478" i="9"/>
  <c r="T478" i="9"/>
  <c r="S478" i="9"/>
  <c r="R478" i="9"/>
  <c r="Q478" i="9"/>
  <c r="AK477" i="9"/>
  <c r="AK478" i="9" s="1"/>
  <c r="AF477" i="9"/>
  <c r="AH473" i="9"/>
  <c r="AG473" i="9"/>
  <c r="AD473" i="9"/>
  <c r="Z473" i="9"/>
  <c r="V473" i="9"/>
  <c r="U473" i="9"/>
  <c r="T473" i="9"/>
  <c r="R473" i="9"/>
  <c r="AJ472" i="9"/>
  <c r="AJ473" i="9" s="1"/>
  <c r="AI472" i="9"/>
  <c r="AI473" i="9" s="1"/>
  <c r="AH472" i="9"/>
  <c r="AG472" i="9"/>
  <c r="AE472" i="9"/>
  <c r="AE473" i="9" s="1"/>
  <c r="AD472" i="9"/>
  <c r="AC472" i="9"/>
  <c r="AC473" i="9" s="1"/>
  <c r="AB472" i="9"/>
  <c r="AB473" i="9" s="1"/>
  <c r="AA472" i="9"/>
  <c r="AA473" i="9" s="1"/>
  <c r="Z472" i="9"/>
  <c r="Y472" i="9"/>
  <c r="Y473" i="9" s="1"/>
  <c r="X472" i="9"/>
  <c r="X473" i="9" s="1"/>
  <c r="W472" i="9"/>
  <c r="W473" i="9" s="1"/>
  <c r="V472" i="9"/>
  <c r="U472" i="9"/>
  <c r="T472" i="9"/>
  <c r="S472" i="9"/>
  <c r="S473" i="9" s="1"/>
  <c r="R472" i="9"/>
  <c r="Q472" i="9"/>
  <c r="Q473" i="9" s="1"/>
  <c r="AK471" i="9"/>
  <c r="AF471" i="9"/>
  <c r="AF470" i="9"/>
  <c r="AF462" i="9"/>
  <c r="AC462" i="9"/>
  <c r="Z462" i="9"/>
  <c r="W462" i="9"/>
  <c r="T462" i="9"/>
  <c r="S462" i="9"/>
  <c r="AJ461" i="9"/>
  <c r="AJ462" i="9" s="1"/>
  <c r="AI461" i="9"/>
  <c r="AI462" i="9" s="1"/>
  <c r="AH461" i="9"/>
  <c r="AH462" i="9" s="1"/>
  <c r="AG461" i="9"/>
  <c r="AG462" i="9" s="1"/>
  <c r="AF461" i="9"/>
  <c r="AE461" i="9"/>
  <c r="AE462" i="9" s="1"/>
  <c r="AD461" i="9"/>
  <c r="AD462" i="9" s="1"/>
  <c r="AD463" i="9" s="1"/>
  <c r="AD464" i="9" s="1"/>
  <c r="AC461" i="9"/>
  <c r="AB461" i="9"/>
  <c r="AB462" i="9" s="1"/>
  <c r="AA461" i="9"/>
  <c r="AA462" i="9" s="1"/>
  <c r="Z461" i="9"/>
  <c r="Y461" i="9"/>
  <c r="Y462" i="9" s="1"/>
  <c r="X461" i="9"/>
  <c r="X462" i="9" s="1"/>
  <c r="X463" i="9" s="1"/>
  <c r="X464" i="9" s="1"/>
  <c r="W461" i="9"/>
  <c r="V461" i="9"/>
  <c r="V462" i="9" s="1"/>
  <c r="U461" i="9"/>
  <c r="U462" i="9" s="1"/>
  <c r="T461" i="9"/>
  <c r="S461" i="9"/>
  <c r="R461" i="9"/>
  <c r="R462" i="9" s="1"/>
  <c r="Q461" i="9"/>
  <c r="Q462" i="9" s="1"/>
  <c r="AK460" i="9"/>
  <c r="AK461" i="9" s="1"/>
  <c r="AK462" i="9" s="1"/>
  <c r="Z456" i="9"/>
  <c r="T456" i="9"/>
  <c r="AJ455" i="9"/>
  <c r="AJ456" i="9" s="1"/>
  <c r="AI455" i="9"/>
  <c r="AI456" i="9" s="1"/>
  <c r="AH455" i="9"/>
  <c r="AG455" i="9"/>
  <c r="AE455" i="9"/>
  <c r="AD455" i="9"/>
  <c r="AD456" i="9" s="1"/>
  <c r="AC455" i="9"/>
  <c r="AC456" i="9" s="1"/>
  <c r="AB455" i="9"/>
  <c r="AA455" i="9"/>
  <c r="Z455" i="9"/>
  <c r="Y455" i="9"/>
  <c r="X455" i="9"/>
  <c r="X456" i="9" s="1"/>
  <c r="W455" i="9"/>
  <c r="W456" i="9" s="1"/>
  <c r="V455" i="9"/>
  <c r="U455" i="9"/>
  <c r="T455" i="9"/>
  <c r="S455" i="9"/>
  <c r="R455" i="9"/>
  <c r="R456" i="9" s="1"/>
  <c r="Q455" i="9"/>
  <c r="Q456" i="9" s="1"/>
  <c r="AK454" i="9"/>
  <c r="AF454" i="9"/>
  <c r="AF453" i="9"/>
  <c r="AF455" i="9" s="1"/>
  <c r="AH450" i="9"/>
  <c r="AH456" i="9" s="1"/>
  <c r="AE450" i="9"/>
  <c r="AD450" i="9"/>
  <c r="AC450" i="9"/>
  <c r="AA450" i="9"/>
  <c r="AA456" i="9" s="1"/>
  <c r="Z450" i="9"/>
  <c r="W450" i="9"/>
  <c r="V450" i="9"/>
  <c r="U450" i="9"/>
  <c r="U456" i="9" s="1"/>
  <c r="T450" i="9"/>
  <c r="S450" i="9"/>
  <c r="R450" i="9"/>
  <c r="Q450" i="9"/>
  <c r="AF449" i="9"/>
  <c r="AF450" i="9" s="1"/>
  <c r="AB449" i="9"/>
  <c r="AB450" i="9" s="1"/>
  <c r="AB456" i="9" s="1"/>
  <c r="AJ446" i="9"/>
  <c r="AI446" i="9"/>
  <c r="AH446" i="9"/>
  <c r="AG446" i="9"/>
  <c r="AG456" i="9" s="1"/>
  <c r="AE446" i="9"/>
  <c r="AD446" i="9"/>
  <c r="AC446" i="9"/>
  <c r="AB446" i="9"/>
  <c r="AA446" i="9"/>
  <c r="Z446" i="9"/>
  <c r="Y446" i="9"/>
  <c r="X446" i="9"/>
  <c r="W446" i="9"/>
  <c r="V446" i="9"/>
  <c r="U446" i="9"/>
  <c r="T446" i="9"/>
  <c r="S446" i="9"/>
  <c r="R446" i="9"/>
  <c r="Q446" i="9"/>
  <c r="AF445" i="9"/>
  <c r="AF446" i="9" s="1"/>
  <c r="AB445" i="9"/>
  <c r="AJ442" i="9"/>
  <c r="AI442" i="9"/>
  <c r="AH442" i="9"/>
  <c r="AG442" i="9"/>
  <c r="AE442" i="9"/>
  <c r="AD442" i="9"/>
  <c r="AC442" i="9"/>
  <c r="AB442" i="9"/>
  <c r="AA442" i="9"/>
  <c r="Z442" i="9"/>
  <c r="Y442" i="9"/>
  <c r="X442" i="9"/>
  <c r="W442" i="9"/>
  <c r="V442" i="9"/>
  <c r="V456" i="9" s="1"/>
  <c r="U442" i="9"/>
  <c r="T442" i="9"/>
  <c r="S442" i="9"/>
  <c r="R442" i="9"/>
  <c r="Q442" i="9"/>
  <c r="AF441" i="9"/>
  <c r="AK441" i="9" s="1"/>
  <c r="AF440" i="9"/>
  <c r="AH436" i="9"/>
  <c r="Z436" i="9"/>
  <c r="V436" i="9"/>
  <c r="T436" i="9"/>
  <c r="AJ435" i="9"/>
  <c r="AJ436" i="9" s="1"/>
  <c r="AI435" i="9"/>
  <c r="AI436" i="9" s="1"/>
  <c r="AH435" i="9"/>
  <c r="AG435" i="9"/>
  <c r="AE435" i="9"/>
  <c r="AE436" i="9" s="1"/>
  <c r="AD435" i="9"/>
  <c r="AD436" i="9" s="1"/>
  <c r="AC435" i="9"/>
  <c r="AC436" i="9" s="1"/>
  <c r="AA435" i="9"/>
  <c r="Z435" i="9"/>
  <c r="Y435" i="9"/>
  <c r="Y436" i="9" s="1"/>
  <c r="X435" i="9"/>
  <c r="X436" i="9" s="1"/>
  <c r="W435" i="9"/>
  <c r="W436" i="9" s="1"/>
  <c r="V435" i="9"/>
  <c r="U435" i="9"/>
  <c r="T435" i="9"/>
  <c r="S435" i="9"/>
  <c r="S436" i="9" s="1"/>
  <c r="R435" i="9"/>
  <c r="R436" i="9" s="1"/>
  <c r="Q435" i="9"/>
  <c r="Q436" i="9" s="1"/>
  <c r="AF434" i="9"/>
  <c r="AB434" i="9"/>
  <c r="W434" i="9"/>
  <c r="AK434" i="9" s="1"/>
  <c r="AF433" i="9"/>
  <c r="AB433" i="9"/>
  <c r="AF432" i="9"/>
  <c r="AF435" i="9" s="1"/>
  <c r="AB432" i="9"/>
  <c r="AB435" i="9" s="1"/>
  <c r="AB436" i="9" s="1"/>
  <c r="AK431" i="9"/>
  <c r="AK430" i="9"/>
  <c r="AF430" i="9"/>
  <c r="AJ427" i="9"/>
  <c r="AI427" i="9"/>
  <c r="AH427" i="9"/>
  <c r="AG427" i="9"/>
  <c r="AG436" i="9" s="1"/>
  <c r="AE427" i="9"/>
  <c r="AD427" i="9"/>
  <c r="AC427" i="9"/>
  <c r="AB427" i="9"/>
  <c r="AA427" i="9"/>
  <c r="AA436" i="9" s="1"/>
  <c r="Z427" i="9"/>
  <c r="Y427" i="9"/>
  <c r="X427" i="9"/>
  <c r="W427" i="9"/>
  <c r="V427" i="9"/>
  <c r="U427" i="9"/>
  <c r="U436" i="9" s="1"/>
  <c r="T427" i="9"/>
  <c r="S427" i="9"/>
  <c r="R427" i="9"/>
  <c r="Q427" i="9"/>
  <c r="AF426" i="9"/>
  <c r="AK426" i="9" s="1"/>
  <c r="AK425" i="9"/>
  <c r="AF424" i="9"/>
  <c r="AK423" i="9"/>
  <c r="AK422" i="9"/>
  <c r="AE418" i="9"/>
  <c r="Y418" i="9"/>
  <c r="S418" i="9"/>
  <c r="AJ417" i="9"/>
  <c r="AJ418" i="9" s="1"/>
  <c r="AI417" i="9"/>
  <c r="AI418" i="9" s="1"/>
  <c r="AH417" i="9"/>
  <c r="AG417" i="9"/>
  <c r="AF417" i="9"/>
  <c r="AE417" i="9"/>
  <c r="AD417" i="9"/>
  <c r="AD418" i="9" s="1"/>
  <c r="AC417" i="9"/>
  <c r="AC418" i="9" s="1"/>
  <c r="AB417" i="9"/>
  <c r="AA417" i="9"/>
  <c r="Z417" i="9"/>
  <c r="Y417" i="9"/>
  <c r="X417" i="9"/>
  <c r="X418" i="9" s="1"/>
  <c r="W417" i="9"/>
  <c r="W418" i="9" s="1"/>
  <c r="V417" i="9"/>
  <c r="U417" i="9"/>
  <c r="T417" i="9"/>
  <c r="S417" i="9"/>
  <c r="R417" i="9"/>
  <c r="R418" i="9" s="1"/>
  <c r="Q417" i="9"/>
  <c r="Q418" i="9" s="1"/>
  <c r="AK416" i="9"/>
  <c r="AK417" i="9" s="1"/>
  <c r="AB416" i="9"/>
  <c r="AJ413" i="9"/>
  <c r="AI413" i="9"/>
  <c r="AH413" i="9"/>
  <c r="AG413" i="9"/>
  <c r="AG418" i="9" s="1"/>
  <c r="AE413" i="9"/>
  <c r="AD413" i="9"/>
  <c r="AC413" i="9"/>
  <c r="AA413" i="9"/>
  <c r="AA418" i="9" s="1"/>
  <c r="Z413" i="9"/>
  <c r="Z418" i="9" s="1"/>
  <c r="Y413" i="9"/>
  <c r="X413" i="9"/>
  <c r="W413" i="9"/>
  <c r="V413" i="9"/>
  <c r="U413" i="9"/>
  <c r="U418" i="9" s="1"/>
  <c r="T413" i="9"/>
  <c r="T418" i="9" s="1"/>
  <c r="S413" i="9"/>
  <c r="R413" i="9"/>
  <c r="Q413" i="9"/>
  <c r="AF412" i="9"/>
  <c r="AB412" i="9"/>
  <c r="AB411" i="9"/>
  <c r="AK411" i="9" s="1"/>
  <c r="AF410" i="9"/>
  <c r="AB410" i="9"/>
  <c r="AK409" i="9"/>
  <c r="AF409" i="9"/>
  <c r="AJ406" i="9"/>
  <c r="AI406" i="9"/>
  <c r="AH406" i="9"/>
  <c r="AG406" i="9"/>
  <c r="AE406" i="9"/>
  <c r="AD406" i="9"/>
  <c r="AC406" i="9"/>
  <c r="AB406" i="9"/>
  <c r="AA406" i="9"/>
  <c r="Z406" i="9"/>
  <c r="Y406" i="9"/>
  <c r="X406" i="9"/>
  <c r="W406" i="9"/>
  <c r="V406" i="9"/>
  <c r="U406" i="9"/>
  <c r="T406" i="9"/>
  <c r="S406" i="9"/>
  <c r="R406" i="9"/>
  <c r="Q406" i="9"/>
  <c r="AK405" i="9"/>
  <c r="AF404" i="9"/>
  <c r="AB404" i="9"/>
  <c r="AK404" i="9" s="1"/>
  <c r="AK403" i="9"/>
  <c r="AF403" i="9"/>
  <c r="AK402" i="9"/>
  <c r="AK401" i="9"/>
  <c r="AF400" i="9"/>
  <c r="AK400" i="9" s="1"/>
  <c r="AK399" i="9"/>
  <c r="AF399" i="9"/>
  <c r="AK398" i="9"/>
  <c r="AF398" i="9"/>
  <c r="AK397" i="9"/>
  <c r="AF396" i="9"/>
  <c r="AF406" i="9" s="1"/>
  <c r="AJ393" i="9"/>
  <c r="AI393" i="9"/>
  <c r="AH393" i="9"/>
  <c r="AG393" i="9"/>
  <c r="AE393" i="9"/>
  <c r="AD393" i="9"/>
  <c r="AC393" i="9"/>
  <c r="AB393" i="9"/>
  <c r="AA393" i="9"/>
  <c r="Z393" i="9"/>
  <c r="Y393" i="9"/>
  <c r="X393" i="9"/>
  <c r="W393" i="9"/>
  <c r="V393" i="9"/>
  <c r="U393" i="9"/>
  <c r="T393" i="9"/>
  <c r="S393" i="9"/>
  <c r="R393" i="9"/>
  <c r="Q393" i="9"/>
  <c r="AK392" i="9"/>
  <c r="AK391" i="9"/>
  <c r="AK390" i="9"/>
  <c r="AK389" i="9"/>
  <c r="AK388" i="9"/>
  <c r="AK387" i="9"/>
  <c r="AF386" i="9"/>
  <c r="AK386" i="9" s="1"/>
  <c r="AK385" i="9"/>
  <c r="AK393" i="9" s="1"/>
  <c r="AJ381" i="9"/>
  <c r="AD381" i="9"/>
  <c r="Z381" i="9"/>
  <c r="X381" i="9"/>
  <c r="T381" i="9"/>
  <c r="R381" i="9"/>
  <c r="AJ380" i="9"/>
  <c r="AI380" i="9"/>
  <c r="AI381" i="9" s="1"/>
  <c r="AH380" i="9"/>
  <c r="AH381" i="9" s="1"/>
  <c r="AG380" i="9"/>
  <c r="AF380" i="9"/>
  <c r="AE380" i="9"/>
  <c r="AD380" i="9"/>
  <c r="AA380" i="9"/>
  <c r="AA381" i="9" s="1"/>
  <c r="Z380" i="9"/>
  <c r="Y380" i="9"/>
  <c r="X380" i="9"/>
  <c r="W380" i="9"/>
  <c r="V380" i="9"/>
  <c r="V381" i="9" s="1"/>
  <c r="U380" i="9"/>
  <c r="U381" i="9" s="1"/>
  <c r="T380" i="9"/>
  <c r="S380" i="9"/>
  <c r="R380" i="9"/>
  <c r="Q380" i="9"/>
  <c r="Q381" i="9" s="1"/>
  <c r="AC379" i="9"/>
  <c r="AC380" i="9" s="1"/>
  <c r="AC381" i="9" s="1"/>
  <c r="AB379" i="9"/>
  <c r="AB380" i="9" s="1"/>
  <c r="AJ376" i="9"/>
  <c r="AI376" i="9"/>
  <c r="AH376" i="9"/>
  <c r="AG376" i="9"/>
  <c r="AF376" i="9"/>
  <c r="AE376" i="9"/>
  <c r="AD376" i="9"/>
  <c r="AC376" i="9"/>
  <c r="AA376" i="9"/>
  <c r="Z376" i="9"/>
  <c r="Y376" i="9"/>
  <c r="X376" i="9"/>
  <c r="W376" i="9"/>
  <c r="V376" i="9"/>
  <c r="U376" i="9"/>
  <c r="T376" i="9"/>
  <c r="S376" i="9"/>
  <c r="R376" i="9"/>
  <c r="Q376" i="9"/>
  <c r="AB375" i="9"/>
  <c r="AK374" i="9"/>
  <c r="AK373" i="9"/>
  <c r="AK372" i="9"/>
  <c r="AK371" i="9"/>
  <c r="AK370" i="9"/>
  <c r="AI367" i="9"/>
  <c r="AH367" i="9"/>
  <c r="AG367" i="9"/>
  <c r="AE367" i="9"/>
  <c r="AE381" i="9" s="1"/>
  <c r="AD367" i="9"/>
  <c r="AC367" i="9"/>
  <c r="AA367" i="9"/>
  <c r="Z367" i="9"/>
  <c r="Y367" i="9"/>
  <c r="Y381" i="9" s="1"/>
  <c r="X367" i="9"/>
  <c r="V367" i="9"/>
  <c r="U367" i="9"/>
  <c r="T367" i="9"/>
  <c r="S367" i="9"/>
  <c r="S381" i="9" s="1"/>
  <c r="R367" i="9"/>
  <c r="Q367" i="9"/>
  <c r="W366" i="9"/>
  <c r="AK366" i="9" s="1"/>
  <c r="AJ365" i="9"/>
  <c r="AJ367" i="9" s="1"/>
  <c r="AF365" i="9"/>
  <c r="AD365" i="9"/>
  <c r="AB365" i="9"/>
  <c r="AB367" i="9" s="1"/>
  <c r="W365" i="9"/>
  <c r="AK365" i="9" s="1"/>
  <c r="AF364" i="9"/>
  <c r="AF367" i="9" s="1"/>
  <c r="AF381" i="9" s="1"/>
  <c r="W364" i="9"/>
  <c r="R357" i="9"/>
  <c r="R358" i="9" s="1"/>
  <c r="AJ356" i="9"/>
  <c r="AJ357" i="9" s="1"/>
  <c r="AJ358" i="9" s="1"/>
  <c r="AI356" i="9"/>
  <c r="AH356" i="9"/>
  <c r="AD356" i="9"/>
  <c r="AD357" i="9" s="1"/>
  <c r="AD358" i="9" s="1"/>
  <c r="AC356" i="9"/>
  <c r="AB356" i="9"/>
  <c r="W356" i="9"/>
  <c r="V356" i="9"/>
  <c r="R356" i="9"/>
  <c r="Q356" i="9"/>
  <c r="AJ355" i="9"/>
  <c r="AI355" i="9"/>
  <c r="AH355" i="9"/>
  <c r="AG355" i="9"/>
  <c r="AG356" i="9" s="1"/>
  <c r="AG357" i="9" s="1"/>
  <c r="AG358" i="9" s="1"/>
  <c r="AE355" i="9"/>
  <c r="AE356" i="9" s="1"/>
  <c r="AD355" i="9"/>
  <c r="AC355" i="9"/>
  <c r="AB355" i="9"/>
  <c r="AA355" i="9"/>
  <c r="AA356" i="9" s="1"/>
  <c r="AA357" i="9" s="1"/>
  <c r="AA358" i="9" s="1"/>
  <c r="Z355" i="9"/>
  <c r="Z356" i="9" s="1"/>
  <c r="Y355" i="9"/>
  <c r="Y356" i="9" s="1"/>
  <c r="X355" i="9"/>
  <c r="X356" i="9" s="1"/>
  <c r="X357" i="9" s="1"/>
  <c r="X358" i="9" s="1"/>
  <c r="W355" i="9"/>
  <c r="V355" i="9"/>
  <c r="U355" i="9"/>
  <c r="U356" i="9" s="1"/>
  <c r="U357" i="9" s="1"/>
  <c r="U358" i="9" s="1"/>
  <c r="T355" i="9"/>
  <c r="T356" i="9" s="1"/>
  <c r="S355" i="9"/>
  <c r="S356" i="9" s="1"/>
  <c r="R355" i="9"/>
  <c r="Q355" i="9"/>
  <c r="AF354" i="9"/>
  <c r="AK354" i="9" s="1"/>
  <c r="AK355" i="9" s="1"/>
  <c r="AK356" i="9" s="1"/>
  <c r="AJ350" i="9"/>
  <c r="AE350" i="9"/>
  <c r="AD350" i="9"/>
  <c r="AC350" i="9"/>
  <c r="Y350" i="9"/>
  <c r="X350" i="9"/>
  <c r="T350" i="9"/>
  <c r="T357" i="9" s="1"/>
  <c r="T358" i="9" s="1"/>
  <c r="S350" i="9"/>
  <c r="R350" i="9"/>
  <c r="AJ349" i="9"/>
  <c r="AI349" i="9"/>
  <c r="AI350" i="9" s="1"/>
  <c r="AH349" i="9"/>
  <c r="AH350" i="9" s="1"/>
  <c r="AG349" i="9"/>
  <c r="AG350" i="9" s="1"/>
  <c r="AE349" i="9"/>
  <c r="AD349" i="9"/>
  <c r="AC349" i="9"/>
  <c r="AB349" i="9"/>
  <c r="AB350" i="9" s="1"/>
  <c r="AA349" i="9"/>
  <c r="AA350" i="9" s="1"/>
  <c r="Z349" i="9"/>
  <c r="Z350" i="9" s="1"/>
  <c r="Y349" i="9"/>
  <c r="X349" i="9"/>
  <c r="W349" i="9"/>
  <c r="W350" i="9" s="1"/>
  <c r="V349" i="9"/>
  <c r="V350" i="9" s="1"/>
  <c r="U349" i="9"/>
  <c r="U350" i="9" s="1"/>
  <c r="T349" i="9"/>
  <c r="S349" i="9"/>
  <c r="R349" i="9"/>
  <c r="Q349" i="9"/>
  <c r="Q350" i="9" s="1"/>
  <c r="AK348" i="9"/>
  <c r="AF347" i="9"/>
  <c r="AK347" i="9" s="1"/>
  <c r="AH339" i="9"/>
  <c r="AH340" i="9" s="1"/>
  <c r="AG339" i="9"/>
  <c r="AG340" i="9" s="1"/>
  <c r="AB339" i="9"/>
  <c r="AB340" i="9" s="1"/>
  <c r="AA339" i="9"/>
  <c r="AA340" i="9" s="1"/>
  <c r="Z339" i="9"/>
  <c r="Z340" i="9" s="1"/>
  <c r="W339" i="9"/>
  <c r="W340" i="9" s="1"/>
  <c r="V339" i="9"/>
  <c r="V340" i="9" s="1"/>
  <c r="U339" i="9"/>
  <c r="U340" i="9" s="1"/>
  <c r="AK338" i="9"/>
  <c r="AK339" i="9" s="1"/>
  <c r="AK340" i="9" s="1"/>
  <c r="AJ338" i="9"/>
  <c r="AJ339" i="9" s="1"/>
  <c r="AJ340" i="9" s="1"/>
  <c r="AI338" i="9"/>
  <c r="AI339" i="9" s="1"/>
  <c r="AI340" i="9" s="1"/>
  <c r="AH338" i="9"/>
  <c r="AG338" i="9"/>
  <c r="AE338" i="9"/>
  <c r="AE339" i="9" s="1"/>
  <c r="AE340" i="9" s="1"/>
  <c r="AD338" i="9"/>
  <c r="AD339" i="9" s="1"/>
  <c r="AD340" i="9" s="1"/>
  <c r="AC338" i="9"/>
  <c r="AC339" i="9" s="1"/>
  <c r="AC340" i="9" s="1"/>
  <c r="AC341" i="9" s="1"/>
  <c r="AB338" i="9"/>
  <c r="AA338" i="9"/>
  <c r="Z338" i="9"/>
  <c r="Y338" i="9"/>
  <c r="Y339" i="9" s="1"/>
  <c r="Y340" i="9" s="1"/>
  <c r="X338" i="9"/>
  <c r="X339" i="9" s="1"/>
  <c r="X340" i="9" s="1"/>
  <c r="W338" i="9"/>
  <c r="V338" i="9"/>
  <c r="U338" i="9"/>
  <c r="T338" i="9"/>
  <c r="T339" i="9" s="1"/>
  <c r="T340" i="9" s="1"/>
  <c r="S338" i="9"/>
  <c r="S339" i="9" s="1"/>
  <c r="S340" i="9" s="1"/>
  <c r="R338" i="9"/>
  <c r="R339" i="9" s="1"/>
  <c r="R340" i="9" s="1"/>
  <c r="Q338" i="9"/>
  <c r="Q339" i="9" s="1"/>
  <c r="Q340" i="9" s="1"/>
  <c r="Q341" i="9" s="1"/>
  <c r="AK337" i="9"/>
  <c r="AF337" i="9"/>
  <c r="AK336" i="9"/>
  <c r="K336" i="9"/>
  <c r="AF335" i="9"/>
  <c r="AK335" i="9" s="1"/>
  <c r="AK334" i="9"/>
  <c r="AF333" i="9"/>
  <c r="AK333" i="9" s="1"/>
  <c r="AJ326" i="9"/>
  <c r="AJ327" i="9" s="1"/>
  <c r="AJ328" i="9" s="1"/>
  <c r="AI326" i="9"/>
  <c r="AH326" i="9"/>
  <c r="AG326" i="9"/>
  <c r="AF326" i="9"/>
  <c r="AE326" i="9"/>
  <c r="AE327" i="9" s="1"/>
  <c r="AE328" i="9" s="1"/>
  <c r="AD326" i="9"/>
  <c r="AD327" i="9" s="1"/>
  <c r="AD328" i="9" s="1"/>
  <c r="AC326" i="9"/>
  <c r="AB326" i="9"/>
  <c r="AA326" i="9"/>
  <c r="Z326" i="9"/>
  <c r="Z327" i="9" s="1"/>
  <c r="Z328" i="9" s="1"/>
  <c r="Y326" i="9"/>
  <c r="Y327" i="9" s="1"/>
  <c r="Y328" i="9" s="1"/>
  <c r="X326" i="9"/>
  <c r="X327" i="9" s="1"/>
  <c r="X328" i="9" s="1"/>
  <c r="W326" i="9"/>
  <c r="V326" i="9"/>
  <c r="U326" i="9"/>
  <c r="T326" i="9"/>
  <c r="T327" i="9" s="1"/>
  <c r="T328" i="9" s="1"/>
  <c r="S326" i="9"/>
  <c r="S327" i="9" s="1"/>
  <c r="S328" i="9" s="1"/>
  <c r="R326" i="9"/>
  <c r="R327" i="9" s="1"/>
  <c r="R328" i="9" s="1"/>
  <c r="Q326" i="9"/>
  <c r="AK325" i="9"/>
  <c r="AF325" i="9"/>
  <c r="AK324" i="9"/>
  <c r="AK326" i="9" s="1"/>
  <c r="AF324" i="9"/>
  <c r="AF323" i="9"/>
  <c r="AK323" i="9" s="1"/>
  <c r="AJ320" i="9"/>
  <c r="AI320" i="9"/>
  <c r="AH320" i="9"/>
  <c r="AH327" i="9" s="1"/>
  <c r="AH328" i="9" s="1"/>
  <c r="AG320" i="9"/>
  <c r="AG327" i="9" s="1"/>
  <c r="AG328" i="9" s="1"/>
  <c r="AF320" i="9"/>
  <c r="AE320" i="9"/>
  <c r="AD320" i="9"/>
  <c r="AC320" i="9"/>
  <c r="AB320" i="9"/>
  <c r="AA320" i="9"/>
  <c r="AA327" i="9" s="1"/>
  <c r="AA328" i="9" s="1"/>
  <c r="Z320" i="9"/>
  <c r="Y320" i="9"/>
  <c r="X320" i="9"/>
  <c r="W320" i="9"/>
  <c r="V320" i="9"/>
  <c r="V327" i="9" s="1"/>
  <c r="V328" i="9" s="1"/>
  <c r="U320" i="9"/>
  <c r="U327" i="9" s="1"/>
  <c r="U328" i="9" s="1"/>
  <c r="T320" i="9"/>
  <c r="S320" i="9"/>
  <c r="R320" i="9"/>
  <c r="Q320" i="9"/>
  <c r="AK319" i="9"/>
  <c r="AF319" i="9"/>
  <c r="AK318" i="9"/>
  <c r="AF318" i="9"/>
  <c r="AF317" i="9"/>
  <c r="AK317" i="9" s="1"/>
  <c r="AK316" i="9"/>
  <c r="AF316" i="9"/>
  <c r="AJ313" i="9"/>
  <c r="AH313" i="9"/>
  <c r="AG313" i="9"/>
  <c r="AE313" i="9"/>
  <c r="AD313" i="9"/>
  <c r="AC313" i="9"/>
  <c r="AB313" i="9"/>
  <c r="AB327" i="9" s="1"/>
  <c r="AB328" i="9" s="1"/>
  <c r="AB341" i="9" s="1"/>
  <c r="AA313" i="9"/>
  <c r="Z313" i="9"/>
  <c r="Y313" i="9"/>
  <c r="X313" i="9"/>
  <c r="W313" i="9"/>
  <c r="V313" i="9"/>
  <c r="U313" i="9"/>
  <c r="T313" i="9"/>
  <c r="S313" i="9"/>
  <c r="R313" i="9"/>
  <c r="Q313" i="9"/>
  <c r="AK312" i="9"/>
  <c r="AF312" i="9"/>
  <c r="AF313" i="9" s="1"/>
  <c r="AK311" i="9"/>
  <c r="AK310" i="9"/>
  <c r="AK309" i="9"/>
  <c r="AF309" i="9"/>
  <c r="AK308" i="9"/>
  <c r="AI308" i="9"/>
  <c r="AI307" i="9"/>
  <c r="AH306" i="9"/>
  <c r="AJ304" i="9"/>
  <c r="AI304" i="9"/>
  <c r="AH304" i="9"/>
  <c r="AG304" i="9"/>
  <c r="AE304" i="9"/>
  <c r="AD304" i="9"/>
  <c r="AC304" i="9"/>
  <c r="AC327" i="9" s="1"/>
  <c r="AC328" i="9" s="1"/>
  <c r="AB304" i="9"/>
  <c r="AA304" i="9"/>
  <c r="Z304" i="9"/>
  <c r="Y304" i="9"/>
  <c r="X304" i="9"/>
  <c r="W304" i="9"/>
  <c r="V304" i="9"/>
  <c r="U304" i="9"/>
  <c r="T304" i="9"/>
  <c r="S304" i="9"/>
  <c r="R304" i="9"/>
  <c r="Q304" i="9"/>
  <c r="Q327" i="9" s="1"/>
  <c r="Q328" i="9" s="1"/>
  <c r="AF303" i="9"/>
  <c r="AK303" i="9" s="1"/>
  <c r="AK302" i="9"/>
  <c r="AF302" i="9"/>
  <c r="AK301" i="9"/>
  <c r="AF300" i="9"/>
  <c r="AI294" i="9"/>
  <c r="AI295" i="9" s="1"/>
  <c r="AC294" i="9"/>
  <c r="AC295" i="9" s="1"/>
  <c r="AB294" i="9"/>
  <c r="AB295" i="9" s="1"/>
  <c r="W294" i="9"/>
  <c r="W295" i="9" s="1"/>
  <c r="V294" i="9"/>
  <c r="V295" i="9" s="1"/>
  <c r="U294" i="9"/>
  <c r="U295" i="9" s="1"/>
  <c r="Q294" i="9"/>
  <c r="Q295" i="9" s="1"/>
  <c r="AJ293" i="9"/>
  <c r="AJ294" i="9" s="1"/>
  <c r="AJ295" i="9" s="1"/>
  <c r="AI293" i="9"/>
  <c r="AH293" i="9"/>
  <c r="AH294" i="9" s="1"/>
  <c r="AH295" i="9" s="1"/>
  <c r="AG293" i="9"/>
  <c r="AG294" i="9" s="1"/>
  <c r="AG295" i="9" s="1"/>
  <c r="AE293" i="9"/>
  <c r="AD293" i="9"/>
  <c r="AC293" i="9"/>
  <c r="AB293" i="9"/>
  <c r="AA293" i="9"/>
  <c r="Z293" i="9"/>
  <c r="Y293" i="9"/>
  <c r="X293" i="9"/>
  <c r="W293" i="9"/>
  <c r="V293" i="9"/>
  <c r="U293" i="9"/>
  <c r="T293" i="9"/>
  <c r="S293" i="9"/>
  <c r="R293" i="9"/>
  <c r="Q293" i="9"/>
  <c r="AK292" i="9"/>
  <c r="AF291" i="9"/>
  <c r="AK291" i="9" s="1"/>
  <c r="AK290" i="9"/>
  <c r="AF290" i="9"/>
  <c r="AK289" i="9"/>
  <c r="AK288" i="9"/>
  <c r="AF287" i="9"/>
  <c r="AK287" i="9" s="1"/>
  <c r="AK284" i="9"/>
  <c r="AJ284" i="9"/>
  <c r="AI284" i="9"/>
  <c r="AH284" i="9"/>
  <c r="AG284" i="9"/>
  <c r="AF284" i="9"/>
  <c r="AE284" i="9"/>
  <c r="AD284" i="9"/>
  <c r="AD294" i="9" s="1"/>
  <c r="AD295" i="9" s="1"/>
  <c r="AC284" i="9"/>
  <c r="AB284" i="9"/>
  <c r="AA284" i="9"/>
  <c r="Z284" i="9"/>
  <c r="Y284" i="9"/>
  <c r="X284" i="9"/>
  <c r="W284" i="9"/>
  <c r="V284" i="9"/>
  <c r="U284" i="9"/>
  <c r="T284" i="9"/>
  <c r="S284" i="9"/>
  <c r="R284" i="9"/>
  <c r="Q284" i="9"/>
  <c r="AK283" i="9"/>
  <c r="AF283" i="9"/>
  <c r="AE282" i="9"/>
  <c r="AK282" i="9" s="1"/>
  <c r="AK279" i="9"/>
  <c r="AJ279" i="9"/>
  <c r="AI279" i="9"/>
  <c r="AH279" i="9"/>
  <c r="AG279" i="9"/>
  <c r="AF279" i="9"/>
  <c r="AE279" i="9"/>
  <c r="AD279" i="9"/>
  <c r="AC279" i="9"/>
  <c r="AB279" i="9"/>
  <c r="AA279" i="9"/>
  <c r="AA294" i="9" s="1"/>
  <c r="AA295" i="9" s="1"/>
  <c r="Z279" i="9"/>
  <c r="Y279" i="9"/>
  <c r="X279" i="9"/>
  <c r="W279" i="9"/>
  <c r="V279" i="9"/>
  <c r="U279" i="9"/>
  <c r="T279" i="9"/>
  <c r="S279" i="9"/>
  <c r="R279" i="9"/>
  <c r="Q279" i="9"/>
  <c r="AK278" i="9"/>
  <c r="AF277" i="9"/>
  <c r="AK277" i="9" s="1"/>
  <c r="AK276" i="9"/>
  <c r="AF276" i="9"/>
  <c r="AK275" i="9"/>
  <c r="AK274" i="9"/>
  <c r="AF273" i="9"/>
  <c r="AK273" i="9" s="1"/>
  <c r="AC266" i="9"/>
  <c r="AC267" i="9" s="1"/>
  <c r="W266" i="9"/>
  <c r="W267" i="9" s="1"/>
  <c r="AC265" i="9"/>
  <c r="AB265" i="9"/>
  <c r="AB266" i="9" s="1"/>
  <c r="AB267" i="9" s="1"/>
  <c r="AA265" i="9"/>
  <c r="V265" i="9"/>
  <c r="V266" i="9" s="1"/>
  <c r="V267" i="9" s="1"/>
  <c r="U265" i="9"/>
  <c r="AJ264" i="9"/>
  <c r="AI264" i="9"/>
  <c r="AH264" i="9"/>
  <c r="AG264" i="9"/>
  <c r="AE264" i="9"/>
  <c r="AD264" i="9"/>
  <c r="AC264" i="9"/>
  <c r="AB264" i="9"/>
  <c r="AA264" i="9"/>
  <c r="Z264" i="9"/>
  <c r="Z265" i="9" s="1"/>
  <c r="Y264" i="9"/>
  <c r="X264" i="9"/>
  <c r="W264" i="9"/>
  <c r="W265" i="9" s="1"/>
  <c r="V264" i="9"/>
  <c r="U264" i="9"/>
  <c r="T264" i="9"/>
  <c r="T265" i="9" s="1"/>
  <c r="S264" i="9"/>
  <c r="R264" i="9"/>
  <c r="Q264" i="9"/>
  <c r="Q265" i="9" s="1"/>
  <c r="AH263" i="9"/>
  <c r="AF263" i="9"/>
  <c r="AK263" i="9" s="1"/>
  <c r="AK264" i="9" s="1"/>
  <c r="AK265" i="9" s="1"/>
  <c r="AK260" i="9"/>
  <c r="AJ260" i="9"/>
  <c r="AI260" i="9"/>
  <c r="AH260" i="9"/>
  <c r="AG260" i="9"/>
  <c r="AF260" i="9"/>
  <c r="AE260" i="9"/>
  <c r="AD260" i="9"/>
  <c r="AC260" i="9"/>
  <c r="AB260" i="9"/>
  <c r="AA260" i="9"/>
  <c r="Z260" i="9"/>
  <c r="Y260" i="9"/>
  <c r="X260" i="9"/>
  <c r="W260" i="9"/>
  <c r="V260" i="9"/>
  <c r="U260" i="9"/>
  <c r="T260" i="9"/>
  <c r="S260" i="9"/>
  <c r="R260" i="9"/>
  <c r="Q260" i="9"/>
  <c r="AK259" i="9"/>
  <c r="AF259" i="9"/>
  <c r="AJ256" i="9"/>
  <c r="AI256" i="9"/>
  <c r="AI265" i="9" s="1"/>
  <c r="AI266" i="9" s="1"/>
  <c r="AI267" i="9" s="1"/>
  <c r="AH256" i="9"/>
  <c r="AH265" i="9" s="1"/>
  <c r="AG256" i="9"/>
  <c r="AG265" i="9" s="1"/>
  <c r="AF256" i="9"/>
  <c r="AE256" i="9"/>
  <c r="AD256" i="9"/>
  <c r="AC256" i="9"/>
  <c r="AB256" i="9"/>
  <c r="AA256" i="9"/>
  <c r="Z256" i="9"/>
  <c r="Y256" i="9"/>
  <c r="X256" i="9"/>
  <c r="W256" i="9"/>
  <c r="V256" i="9"/>
  <c r="U256" i="9"/>
  <c r="T256" i="9"/>
  <c r="S256" i="9"/>
  <c r="R256" i="9"/>
  <c r="Q256" i="9"/>
  <c r="AK255" i="9"/>
  <c r="AK256" i="9" s="1"/>
  <c r="AK254" i="9"/>
  <c r="AI250" i="9"/>
  <c r="AH250" i="9"/>
  <c r="AC250" i="9"/>
  <c r="AB250" i="9"/>
  <c r="W250" i="9"/>
  <c r="V250" i="9"/>
  <c r="Q250" i="9"/>
  <c r="AJ249" i="9"/>
  <c r="AI249" i="9"/>
  <c r="AH249" i="9"/>
  <c r="AG249" i="9"/>
  <c r="AE249" i="9"/>
  <c r="AE250" i="9" s="1"/>
  <c r="AD249" i="9"/>
  <c r="AC249" i="9"/>
  <c r="AB249" i="9"/>
  <c r="AA249" i="9"/>
  <c r="Z249" i="9"/>
  <c r="Y249" i="9"/>
  <c r="Y250" i="9" s="1"/>
  <c r="X249" i="9"/>
  <c r="W249" i="9"/>
  <c r="V249" i="9"/>
  <c r="U249" i="9"/>
  <c r="T249" i="9"/>
  <c r="S249" i="9"/>
  <c r="S250" i="9" s="1"/>
  <c r="R249" i="9"/>
  <c r="Q249" i="9"/>
  <c r="AK248" i="9"/>
  <c r="AK247" i="9"/>
  <c r="AF246" i="9"/>
  <c r="AJ243" i="9"/>
  <c r="AI243" i="9"/>
  <c r="AH243" i="9"/>
  <c r="AG243" i="9"/>
  <c r="AE243" i="9"/>
  <c r="AD243" i="9"/>
  <c r="AC243" i="9"/>
  <c r="AB243" i="9"/>
  <c r="AA243" i="9"/>
  <c r="Z243" i="9"/>
  <c r="Y243" i="9"/>
  <c r="X243" i="9"/>
  <c r="W243" i="9"/>
  <c r="V243" i="9"/>
  <c r="U243" i="9"/>
  <c r="T243" i="9"/>
  <c r="S243" i="9"/>
  <c r="R243" i="9"/>
  <c r="Q243" i="9"/>
  <c r="AF242" i="9"/>
  <c r="AK242" i="9" s="1"/>
  <c r="AF241" i="9"/>
  <c r="AK240" i="9"/>
  <c r="AF240" i="9"/>
  <c r="AF239" i="9"/>
  <c r="AK239" i="9" s="1"/>
  <c r="AJ236" i="9"/>
  <c r="AI236" i="9"/>
  <c r="AH236" i="9"/>
  <c r="AG236" i="9"/>
  <c r="AE236" i="9"/>
  <c r="AD236" i="9"/>
  <c r="AC236" i="9"/>
  <c r="AB236" i="9"/>
  <c r="AA236" i="9"/>
  <c r="Z236" i="9"/>
  <c r="Y236" i="9"/>
  <c r="X236" i="9"/>
  <c r="W236" i="9"/>
  <c r="V236" i="9"/>
  <c r="U236" i="9"/>
  <c r="T236" i="9"/>
  <c r="S236" i="9"/>
  <c r="R236" i="9"/>
  <c r="Q236" i="9"/>
  <c r="AF235" i="9"/>
  <c r="AK235" i="9" s="1"/>
  <c r="AK234" i="9"/>
  <c r="AF233" i="9"/>
  <c r="AF236" i="9" s="1"/>
  <c r="AK232" i="9"/>
  <c r="AF232" i="9"/>
  <c r="AK231" i="9"/>
  <c r="AF231" i="9"/>
  <c r="R224" i="9"/>
  <c r="R225" i="9" s="1"/>
  <c r="AE223" i="9"/>
  <c r="AD223" i="9"/>
  <c r="Z223" i="9"/>
  <c r="Y223" i="9"/>
  <c r="X223" i="9"/>
  <c r="X224" i="9" s="1"/>
  <c r="X225" i="9" s="1"/>
  <c r="U223" i="9"/>
  <c r="T223" i="9"/>
  <c r="AJ222" i="9"/>
  <c r="AJ223" i="9" s="1"/>
  <c r="AI222" i="9"/>
  <c r="AH222" i="9"/>
  <c r="AH223" i="9" s="1"/>
  <c r="AG222" i="9"/>
  <c r="AG223" i="9" s="1"/>
  <c r="AE222" i="9"/>
  <c r="AD222" i="9"/>
  <c r="AC222" i="9"/>
  <c r="AB222" i="9"/>
  <c r="AA222" i="9"/>
  <c r="AA223" i="9" s="1"/>
  <c r="Z222" i="9"/>
  <c r="Y222" i="9"/>
  <c r="X222" i="9"/>
  <c r="W222" i="9"/>
  <c r="V222" i="9"/>
  <c r="U222" i="9"/>
  <c r="T222" i="9"/>
  <c r="S222" i="9"/>
  <c r="R222" i="9"/>
  <c r="R223" i="9" s="1"/>
  <c r="Q222" i="9"/>
  <c r="AF221" i="9"/>
  <c r="AK220" i="9"/>
  <c r="AF220" i="9"/>
  <c r="AJ217" i="9"/>
  <c r="AI217" i="9"/>
  <c r="AH217" i="9"/>
  <c r="AG217" i="9"/>
  <c r="AE217" i="9"/>
  <c r="AD217" i="9"/>
  <c r="AC217" i="9"/>
  <c r="AB217" i="9"/>
  <c r="AA217" i="9"/>
  <c r="Z217" i="9"/>
  <c r="Y217" i="9"/>
  <c r="X217" i="9"/>
  <c r="W217" i="9"/>
  <c r="V217" i="9"/>
  <c r="U217" i="9"/>
  <c r="T217" i="9"/>
  <c r="S217" i="9"/>
  <c r="S223" i="9" s="1"/>
  <c r="R217" i="9"/>
  <c r="Q217" i="9"/>
  <c r="AK216" i="9"/>
  <c r="AK217" i="9" s="1"/>
  <c r="AH216" i="9"/>
  <c r="AF216" i="9"/>
  <c r="AF217" i="9" s="1"/>
  <c r="AI212" i="9"/>
  <c r="AE212" i="9"/>
  <c r="W212" i="9"/>
  <c r="AI211" i="9"/>
  <c r="AH211" i="9"/>
  <c r="AG211" i="9"/>
  <c r="AF211" i="9"/>
  <c r="AE211" i="9"/>
  <c r="AD211" i="9"/>
  <c r="AC211" i="9"/>
  <c r="AB211" i="9"/>
  <c r="AA211" i="9"/>
  <c r="Z211" i="9"/>
  <c r="Y211" i="9"/>
  <c r="Y212" i="9" s="1"/>
  <c r="X211" i="9"/>
  <c r="W211" i="9"/>
  <c r="V211" i="9"/>
  <c r="U211" i="9"/>
  <c r="T211" i="9"/>
  <c r="S211" i="9"/>
  <c r="S212" i="9" s="1"/>
  <c r="R211" i="9"/>
  <c r="AK210" i="9"/>
  <c r="AK211" i="9" s="1"/>
  <c r="AJ210" i="9"/>
  <c r="AJ211" i="9" s="1"/>
  <c r="AJ212" i="9" s="1"/>
  <c r="AJ224" i="9" s="1"/>
  <c r="AJ225" i="9" s="1"/>
  <c r="Q210" i="9"/>
  <c r="Q211" i="9" s="1"/>
  <c r="AJ207" i="9"/>
  <c r="AI207" i="9"/>
  <c r="AH207" i="9"/>
  <c r="AH212" i="9" s="1"/>
  <c r="AG207" i="9"/>
  <c r="AF207" i="9"/>
  <c r="AE207" i="9"/>
  <c r="AD207" i="9"/>
  <c r="AC207" i="9"/>
  <c r="AB207" i="9"/>
  <c r="AA207" i="9"/>
  <c r="Z207" i="9"/>
  <c r="Y207" i="9"/>
  <c r="X207" i="9"/>
  <c r="W207" i="9"/>
  <c r="V207" i="9"/>
  <c r="U207" i="9"/>
  <c r="T207" i="9"/>
  <c r="S207" i="9"/>
  <c r="R207" i="9"/>
  <c r="Q207" i="9"/>
  <c r="AK206" i="9"/>
  <c r="AK207" i="9" s="1"/>
  <c r="AH203" i="9"/>
  <c r="AG203" i="9"/>
  <c r="AE203" i="9"/>
  <c r="AD203" i="9"/>
  <c r="AD212" i="9" s="1"/>
  <c r="AC203" i="9"/>
  <c r="AC212" i="9" s="1"/>
  <c r="AB203" i="9"/>
  <c r="AA203" i="9"/>
  <c r="Z203" i="9"/>
  <c r="Y203" i="9"/>
  <c r="X203" i="9"/>
  <c r="X212" i="9" s="1"/>
  <c r="W203" i="9"/>
  <c r="V203" i="9"/>
  <c r="U203" i="9"/>
  <c r="T203" i="9"/>
  <c r="S203" i="9"/>
  <c r="R203" i="9"/>
  <c r="R212" i="9" s="1"/>
  <c r="Q203" i="9"/>
  <c r="Q212" i="9" s="1"/>
  <c r="AK202" i="9"/>
  <c r="AF202" i="9"/>
  <c r="Q202" i="9"/>
  <c r="AF201" i="9"/>
  <c r="Q201" i="9"/>
  <c r="AK201" i="9" s="1"/>
  <c r="AK200" i="9"/>
  <c r="AK203" i="9" s="1"/>
  <c r="AF200" i="9"/>
  <c r="AF203" i="9" s="1"/>
  <c r="AK199" i="9"/>
  <c r="Q199" i="9"/>
  <c r="T192" i="9"/>
  <c r="AI191" i="9"/>
  <c r="AH191" i="9"/>
  <c r="AH192" i="9" s="1"/>
  <c r="AE191" i="9"/>
  <c r="AC191" i="9"/>
  <c r="W191" i="9"/>
  <c r="W192" i="9" s="1"/>
  <c r="V191" i="9"/>
  <c r="V192" i="9" s="1"/>
  <c r="Q191" i="9"/>
  <c r="AK190" i="9"/>
  <c r="AJ190" i="9"/>
  <c r="AI190" i="9"/>
  <c r="AH190" i="9"/>
  <c r="AG190" i="9"/>
  <c r="AF190" i="9"/>
  <c r="AE190" i="9"/>
  <c r="AD190" i="9"/>
  <c r="AC190" i="9"/>
  <c r="AB190" i="9"/>
  <c r="AB191" i="9" s="1"/>
  <c r="AB192" i="9" s="1"/>
  <c r="AB193" i="9" s="1"/>
  <c r="AA190" i="9"/>
  <c r="Z190" i="9"/>
  <c r="Z191" i="9" s="1"/>
  <c r="Z192" i="9" s="1"/>
  <c r="Y190" i="9"/>
  <c r="Y191" i="9" s="1"/>
  <c r="X190" i="9"/>
  <c r="W190" i="9"/>
  <c r="V190" i="9"/>
  <c r="U190" i="9"/>
  <c r="T190" i="9"/>
  <c r="T191" i="9" s="1"/>
  <c r="S190" i="9"/>
  <c r="S191" i="9" s="1"/>
  <c r="R190" i="9"/>
  <c r="Q190" i="9"/>
  <c r="AK189" i="9"/>
  <c r="AF189" i="9"/>
  <c r="AJ186" i="9"/>
  <c r="AJ191" i="9" s="1"/>
  <c r="AJ192" i="9" s="1"/>
  <c r="AI186" i="9"/>
  <c r="AH186" i="9"/>
  <c r="AG186" i="9"/>
  <c r="AE186" i="9"/>
  <c r="AD186" i="9"/>
  <c r="AD191" i="9" s="1"/>
  <c r="AD192" i="9" s="1"/>
  <c r="AC186" i="9"/>
  <c r="AB186" i="9"/>
  <c r="AA186" i="9"/>
  <c r="Z186" i="9"/>
  <c r="Y186" i="9"/>
  <c r="X186" i="9"/>
  <c r="X191" i="9" s="1"/>
  <c r="X192" i="9" s="1"/>
  <c r="W186" i="9"/>
  <c r="V186" i="9"/>
  <c r="U186" i="9"/>
  <c r="T186" i="9"/>
  <c r="S186" i="9"/>
  <c r="R186" i="9"/>
  <c r="R191" i="9" s="1"/>
  <c r="R192" i="9" s="1"/>
  <c r="Q186" i="9"/>
  <c r="AK185" i="9"/>
  <c r="AK184" i="9"/>
  <c r="AF183" i="9"/>
  <c r="AF186" i="9" s="1"/>
  <c r="AK182" i="9"/>
  <c r="AK181" i="9"/>
  <c r="AF181" i="9"/>
  <c r="AJ177" i="9"/>
  <c r="AI177" i="9"/>
  <c r="AH177" i="9"/>
  <c r="AE177" i="9"/>
  <c r="AD177" i="9"/>
  <c r="AC177" i="9"/>
  <c r="X177" i="9"/>
  <c r="W177" i="9"/>
  <c r="V177" i="9"/>
  <c r="R177" i="9"/>
  <c r="Q177" i="9"/>
  <c r="AK176" i="9"/>
  <c r="AK177" i="9" s="1"/>
  <c r="AJ176" i="9"/>
  <c r="AI176" i="9"/>
  <c r="AH176" i="9"/>
  <c r="AG176" i="9"/>
  <c r="AG177" i="9" s="1"/>
  <c r="AF176" i="9"/>
  <c r="AF177" i="9" s="1"/>
  <c r="AE176" i="9"/>
  <c r="AD176" i="9"/>
  <c r="AC176" i="9"/>
  <c r="AB176" i="9"/>
  <c r="AB177" i="9" s="1"/>
  <c r="AA176" i="9"/>
  <c r="AA177" i="9" s="1"/>
  <c r="Z176" i="9"/>
  <c r="Z177" i="9" s="1"/>
  <c r="Y176" i="9"/>
  <c r="Y177" i="9" s="1"/>
  <c r="X176" i="9"/>
  <c r="W176" i="9"/>
  <c r="V176" i="9"/>
  <c r="U176" i="9"/>
  <c r="U177" i="9" s="1"/>
  <c r="T176" i="9"/>
  <c r="T177" i="9" s="1"/>
  <c r="S176" i="9"/>
  <c r="S177" i="9" s="1"/>
  <c r="R176" i="9"/>
  <c r="Q176" i="9"/>
  <c r="AK175" i="9"/>
  <c r="AF175" i="9"/>
  <c r="A175" i="9"/>
  <c r="AI169" i="9"/>
  <c r="AD169" i="9"/>
  <c r="AC169" i="9"/>
  <c r="X169" i="9"/>
  <c r="W169" i="9"/>
  <c r="Q169" i="9"/>
  <c r="AJ168" i="9"/>
  <c r="AJ169" i="9" s="1"/>
  <c r="AI168" i="9"/>
  <c r="AH168" i="9"/>
  <c r="AH169" i="9" s="1"/>
  <c r="AH170" i="9" s="1"/>
  <c r="AG168" i="9"/>
  <c r="AG169" i="9" s="1"/>
  <c r="AE168" i="9"/>
  <c r="AE169" i="9" s="1"/>
  <c r="AD168" i="9"/>
  <c r="AC168" i="9"/>
  <c r="AB168" i="9"/>
  <c r="AA168" i="9"/>
  <c r="AA169" i="9" s="1"/>
  <c r="Z168" i="9"/>
  <c r="Y168" i="9"/>
  <c r="Y169" i="9" s="1"/>
  <c r="X168" i="9"/>
  <c r="W168" i="9"/>
  <c r="V168" i="9"/>
  <c r="U168" i="9"/>
  <c r="U169" i="9" s="1"/>
  <c r="T168" i="9"/>
  <c r="S168" i="9"/>
  <c r="S169" i="9" s="1"/>
  <c r="R168" i="9"/>
  <c r="R169" i="9" s="1"/>
  <c r="Q168" i="9"/>
  <c r="AF167" i="9"/>
  <c r="AK167" i="9" s="1"/>
  <c r="AF166" i="9"/>
  <c r="AJ163" i="9"/>
  <c r="AI163" i="9"/>
  <c r="AH163" i="9"/>
  <c r="AG163" i="9"/>
  <c r="AF163" i="9"/>
  <c r="AE163" i="9"/>
  <c r="AD163" i="9"/>
  <c r="AC163" i="9"/>
  <c r="AB163" i="9"/>
  <c r="AB169" i="9" s="1"/>
  <c r="AB170" i="9" s="1"/>
  <c r="AA163" i="9"/>
  <c r="Z163" i="9"/>
  <c r="Y163" i="9"/>
  <c r="X163" i="9"/>
  <c r="W163" i="9"/>
  <c r="V163" i="9"/>
  <c r="V169" i="9" s="1"/>
  <c r="V170" i="9" s="1"/>
  <c r="U163" i="9"/>
  <c r="T163" i="9"/>
  <c r="S163" i="9"/>
  <c r="R163" i="9"/>
  <c r="Q163" i="9"/>
  <c r="AF162" i="9"/>
  <c r="AK162" i="9" s="1"/>
  <c r="AK161" i="9"/>
  <c r="AF161" i="9"/>
  <c r="AF160" i="9"/>
  <c r="AK160" i="9" s="1"/>
  <c r="AF159" i="9"/>
  <c r="AK159" i="9" s="1"/>
  <c r="AF158" i="9"/>
  <c r="AK158" i="9" s="1"/>
  <c r="Z154" i="9"/>
  <c r="T154" i="9"/>
  <c r="AJ153" i="9"/>
  <c r="AI153" i="9"/>
  <c r="AI154" i="9" s="1"/>
  <c r="AH153" i="9"/>
  <c r="AH154" i="9" s="1"/>
  <c r="AG153" i="9"/>
  <c r="AE153" i="9"/>
  <c r="AE154" i="9" s="1"/>
  <c r="AD153" i="9"/>
  <c r="AC153" i="9"/>
  <c r="AC154" i="9" s="1"/>
  <c r="AB153" i="9"/>
  <c r="AB154" i="9" s="1"/>
  <c r="AA153" i="9"/>
  <c r="Z153" i="9"/>
  <c r="Y153" i="9"/>
  <c r="Y154" i="9" s="1"/>
  <c r="X153" i="9"/>
  <c r="W153" i="9"/>
  <c r="W154" i="9" s="1"/>
  <c r="V153" i="9"/>
  <c r="V154" i="9" s="1"/>
  <c r="U153" i="9"/>
  <c r="T153" i="9"/>
  <c r="S153" i="9"/>
  <c r="S154" i="9" s="1"/>
  <c r="R153" i="9"/>
  <c r="Q153" i="9"/>
  <c r="Q154" i="9" s="1"/>
  <c r="AK152" i="9"/>
  <c r="AF152" i="9"/>
  <c r="AF151" i="9"/>
  <c r="AF153" i="9" s="1"/>
  <c r="AJ148" i="9"/>
  <c r="AI148" i="9"/>
  <c r="AH148" i="9"/>
  <c r="AG148" i="9"/>
  <c r="AE148" i="9"/>
  <c r="AD148" i="9"/>
  <c r="AC148" i="9"/>
  <c r="AB148" i="9"/>
  <c r="AA148" i="9"/>
  <c r="Z148" i="9"/>
  <c r="Y148" i="9"/>
  <c r="X148" i="9"/>
  <c r="W148" i="9"/>
  <c r="V148" i="9"/>
  <c r="U148" i="9"/>
  <c r="T148" i="9"/>
  <c r="S148" i="9"/>
  <c r="R148" i="9"/>
  <c r="Q148" i="9"/>
  <c r="AK147" i="9"/>
  <c r="AF147" i="9"/>
  <c r="AF146" i="9"/>
  <c r="AK146" i="9" s="1"/>
  <c r="AK145" i="9"/>
  <c r="AK148" i="9" s="1"/>
  <c r="AF145" i="9"/>
  <c r="AF148" i="9" s="1"/>
  <c r="AJ142" i="9"/>
  <c r="AI142" i="9"/>
  <c r="AH142" i="9"/>
  <c r="AG142" i="9"/>
  <c r="AG154" i="9" s="1"/>
  <c r="AE142" i="9"/>
  <c r="AD142" i="9"/>
  <c r="AC142" i="9"/>
  <c r="AB142" i="9"/>
  <c r="AA142" i="9"/>
  <c r="AA154" i="9" s="1"/>
  <c r="Z142" i="9"/>
  <c r="Y142" i="9"/>
  <c r="X142" i="9"/>
  <c r="W142" i="9"/>
  <c r="V142" i="9"/>
  <c r="U142" i="9"/>
  <c r="U154" i="9" s="1"/>
  <c r="T142" i="9"/>
  <c r="S142" i="9"/>
  <c r="R142" i="9"/>
  <c r="Q142" i="9"/>
  <c r="AF141" i="9"/>
  <c r="AK141" i="9" s="1"/>
  <c r="AK140" i="9"/>
  <c r="AF140" i="9"/>
  <c r="AF139" i="9"/>
  <c r="AK139" i="9" s="1"/>
  <c r="AF138" i="9"/>
  <c r="AK137" i="9"/>
  <c r="AF137" i="9"/>
  <c r="AH133" i="9"/>
  <c r="AB133" i="9"/>
  <c r="V133" i="9"/>
  <c r="AJ132" i="9"/>
  <c r="AJ133" i="9" s="1"/>
  <c r="AI132" i="9"/>
  <c r="AH132" i="9"/>
  <c r="AG132" i="9"/>
  <c r="AG133" i="9" s="1"/>
  <c r="AE132" i="9"/>
  <c r="AE133" i="9" s="1"/>
  <c r="AD132" i="9"/>
  <c r="AD133" i="9" s="1"/>
  <c r="AC132" i="9"/>
  <c r="AB132" i="9"/>
  <c r="AA132" i="9"/>
  <c r="AA133" i="9" s="1"/>
  <c r="Z132" i="9"/>
  <c r="Z133" i="9" s="1"/>
  <c r="Y132" i="9"/>
  <c r="Y133" i="9" s="1"/>
  <c r="X132" i="9"/>
  <c r="X133" i="9" s="1"/>
  <c r="W132" i="9"/>
  <c r="V132" i="9"/>
  <c r="U132" i="9"/>
  <c r="U133" i="9" s="1"/>
  <c r="T132" i="9"/>
  <c r="S132" i="9"/>
  <c r="S133" i="9" s="1"/>
  <c r="R132" i="9"/>
  <c r="R133" i="9" s="1"/>
  <c r="Q132" i="9"/>
  <c r="AK131" i="9"/>
  <c r="AK130" i="9"/>
  <c r="AF129" i="9"/>
  <c r="T129" i="9"/>
  <c r="T128" i="9"/>
  <c r="AK128" i="9" s="1"/>
  <c r="AJ125" i="9"/>
  <c r="AI125" i="9"/>
  <c r="AI133" i="9" s="1"/>
  <c r="AH125" i="9"/>
  <c r="AG125" i="9"/>
  <c r="AE125" i="9"/>
  <c r="AD125" i="9"/>
  <c r="AC125" i="9"/>
  <c r="AC133" i="9" s="1"/>
  <c r="AB125" i="9"/>
  <c r="AA125" i="9"/>
  <c r="Z125" i="9"/>
  <c r="Y125" i="9"/>
  <c r="X125" i="9"/>
  <c r="W125" i="9"/>
  <c r="W133" i="9" s="1"/>
  <c r="V125" i="9"/>
  <c r="U125" i="9"/>
  <c r="S125" i="9"/>
  <c r="R125" i="9"/>
  <c r="Q125" i="9"/>
  <c r="Q133" i="9" s="1"/>
  <c r="AK124" i="9"/>
  <c r="T123" i="9"/>
  <c r="AK123" i="9" s="1"/>
  <c r="AK122" i="9"/>
  <c r="T122" i="9"/>
  <c r="AK121" i="9"/>
  <c r="AK120" i="9"/>
  <c r="AK125" i="9" s="1"/>
  <c r="AF120" i="9"/>
  <c r="AF125" i="9" s="1"/>
  <c r="T120" i="9"/>
  <c r="T125" i="9" s="1"/>
  <c r="AF113" i="9"/>
  <c r="Z113" i="9"/>
  <c r="AJ112" i="9"/>
  <c r="AJ113" i="9" s="1"/>
  <c r="AI112" i="9"/>
  <c r="AI113" i="9" s="1"/>
  <c r="AD112" i="9"/>
  <c r="AD113" i="9" s="1"/>
  <c r="AC112" i="9"/>
  <c r="AC113" i="9" s="1"/>
  <c r="X112" i="9"/>
  <c r="X113" i="9" s="1"/>
  <c r="W112" i="9"/>
  <c r="W113" i="9" s="1"/>
  <c r="R112" i="9"/>
  <c r="R113" i="9" s="1"/>
  <c r="Q112" i="9"/>
  <c r="Q113" i="9" s="1"/>
  <c r="AJ111" i="9"/>
  <c r="AI111" i="9"/>
  <c r="AH111" i="9"/>
  <c r="AH112" i="9" s="1"/>
  <c r="AH113" i="9" s="1"/>
  <c r="AG111" i="9"/>
  <c r="AG112" i="9" s="1"/>
  <c r="AG113" i="9" s="1"/>
  <c r="AF111" i="9"/>
  <c r="AF112" i="9" s="1"/>
  <c r="AD111" i="9"/>
  <c r="AC111" i="9"/>
  <c r="AB111" i="9"/>
  <c r="AB112" i="9" s="1"/>
  <c r="AB113" i="9" s="1"/>
  <c r="AA111" i="9"/>
  <c r="AA112" i="9" s="1"/>
  <c r="AA113" i="9" s="1"/>
  <c r="Z111" i="9"/>
  <c r="Z112" i="9" s="1"/>
  <c r="Y111" i="9"/>
  <c r="Y112" i="9" s="1"/>
  <c r="Y113" i="9" s="1"/>
  <c r="X111" i="9"/>
  <c r="W111" i="9"/>
  <c r="V111" i="9"/>
  <c r="V112" i="9" s="1"/>
  <c r="V113" i="9" s="1"/>
  <c r="U111" i="9"/>
  <c r="U112" i="9" s="1"/>
  <c r="U113" i="9" s="1"/>
  <c r="T111" i="9"/>
  <c r="T112" i="9" s="1"/>
  <c r="T113" i="9" s="1"/>
  <c r="T114" i="9" s="1"/>
  <c r="R111" i="9"/>
  <c r="Q111" i="9"/>
  <c r="AK110" i="9"/>
  <c r="AK109" i="9"/>
  <c r="AK108" i="9"/>
  <c r="AK107" i="9"/>
  <c r="AE106" i="9"/>
  <c r="AK106" i="9" s="1"/>
  <c r="AE105" i="9"/>
  <c r="AE111" i="9" s="1"/>
  <c r="AE112" i="9" s="1"/>
  <c r="AE113" i="9" s="1"/>
  <c r="S105" i="9"/>
  <c r="S111" i="9" s="1"/>
  <c r="S112" i="9" s="1"/>
  <c r="S113" i="9" s="1"/>
  <c r="U100" i="9"/>
  <c r="T100" i="9"/>
  <c r="AE99" i="9"/>
  <c r="AE100" i="9" s="1"/>
  <c r="Y99" i="9"/>
  <c r="Y100" i="9" s="1"/>
  <c r="AH98" i="9"/>
  <c r="AH99" i="9" s="1"/>
  <c r="AH100" i="9" s="1"/>
  <c r="AG98" i="9"/>
  <c r="AG99" i="9" s="1"/>
  <c r="AG100" i="9" s="1"/>
  <c r="AE98" i="9"/>
  <c r="AD98" i="9"/>
  <c r="AC98" i="9"/>
  <c r="AB98" i="9"/>
  <c r="AB99" i="9" s="1"/>
  <c r="AB100" i="9" s="1"/>
  <c r="AA98" i="9"/>
  <c r="AA99" i="9" s="1"/>
  <c r="AA100" i="9" s="1"/>
  <c r="Z98" i="9"/>
  <c r="Z99" i="9" s="1"/>
  <c r="Z100" i="9" s="1"/>
  <c r="Y98" i="9"/>
  <c r="X98" i="9"/>
  <c r="W98" i="9"/>
  <c r="V98" i="9"/>
  <c r="V99" i="9" s="1"/>
  <c r="V100" i="9" s="1"/>
  <c r="U98" i="9"/>
  <c r="U99" i="9" s="1"/>
  <c r="T98" i="9"/>
  <c r="T99" i="9" s="1"/>
  <c r="R98" i="9"/>
  <c r="Q98" i="9"/>
  <c r="AK97" i="9"/>
  <c r="AJ97" i="9"/>
  <c r="AJ98" i="9" s="1"/>
  <c r="AJ99" i="9" s="1"/>
  <c r="AJ100" i="9" s="1"/>
  <c r="AK96" i="9"/>
  <c r="AK95" i="9"/>
  <c r="AI94" i="9"/>
  <c r="AF94" i="9"/>
  <c r="AK94" i="9" s="1"/>
  <c r="AK93" i="9"/>
  <c r="AI93" i="9"/>
  <c r="AF93" i="9"/>
  <c r="AF98" i="9" s="1"/>
  <c r="AF99" i="9" s="1"/>
  <c r="AF100" i="9" s="1"/>
  <c r="AI92" i="9"/>
  <c r="S92" i="9"/>
  <c r="AK92" i="9" s="1"/>
  <c r="AI91" i="9"/>
  <c r="AI98" i="9" s="1"/>
  <c r="AI99" i="9" s="1"/>
  <c r="AI100" i="9" s="1"/>
  <c r="AK90" i="9"/>
  <c r="S90" i="9"/>
  <c r="L90" i="9"/>
  <c r="AJ87" i="9"/>
  <c r="AI87" i="9"/>
  <c r="AH87" i="9"/>
  <c r="AG87" i="9"/>
  <c r="AE87" i="9"/>
  <c r="AD87" i="9"/>
  <c r="AD99" i="9" s="1"/>
  <c r="AD100" i="9" s="1"/>
  <c r="AC87" i="9"/>
  <c r="AC99" i="9" s="1"/>
  <c r="AC100" i="9" s="1"/>
  <c r="AB87" i="9"/>
  <c r="AA87" i="9"/>
  <c r="Z87" i="9"/>
  <c r="Y87" i="9"/>
  <c r="X87" i="9"/>
  <c r="X99" i="9" s="1"/>
  <c r="X100" i="9" s="1"/>
  <c r="W87" i="9"/>
  <c r="W99" i="9" s="1"/>
  <c r="W100" i="9" s="1"/>
  <c r="W114" i="9" s="1"/>
  <c r="V87" i="9"/>
  <c r="U87" i="9"/>
  <c r="T87" i="9"/>
  <c r="S87" i="9"/>
  <c r="R87" i="9"/>
  <c r="R99" i="9" s="1"/>
  <c r="R100" i="9" s="1"/>
  <c r="Q87" i="9"/>
  <c r="Q99" i="9" s="1"/>
  <c r="Q100" i="9" s="1"/>
  <c r="Q114" i="9" s="1"/>
  <c r="AK86" i="9"/>
  <c r="AI86" i="9"/>
  <c r="V86" i="9"/>
  <c r="AI85" i="9"/>
  <c r="V85" i="9"/>
  <c r="AK85" i="9" s="1"/>
  <c r="AK84" i="9"/>
  <c r="AK87" i="9" s="1"/>
  <c r="AI84" i="9"/>
  <c r="AF84" i="9"/>
  <c r="AF87" i="9" s="1"/>
  <c r="V84" i="9"/>
  <c r="L84" i="9"/>
  <c r="Z78" i="9"/>
  <c r="T78" i="9"/>
  <c r="AC77" i="9"/>
  <c r="AC78" i="9" s="1"/>
  <c r="AG76" i="9"/>
  <c r="AG77" i="9" s="1"/>
  <c r="AG78" i="9" s="1"/>
  <c r="AF76" i="9"/>
  <c r="AF77" i="9" s="1"/>
  <c r="AF78" i="9" s="1"/>
  <c r="AE76" i="9"/>
  <c r="AE77" i="9" s="1"/>
  <c r="AE78" i="9" s="1"/>
  <c r="Z76" i="9"/>
  <c r="Z77" i="9" s="1"/>
  <c r="Y76" i="9"/>
  <c r="Y77" i="9" s="1"/>
  <c r="Y78" i="9" s="1"/>
  <c r="X76" i="9"/>
  <c r="X77" i="9" s="1"/>
  <c r="X78" i="9" s="1"/>
  <c r="T76" i="9"/>
  <c r="T77" i="9" s="1"/>
  <c r="AJ75" i="9"/>
  <c r="AJ76" i="9" s="1"/>
  <c r="AJ77" i="9" s="1"/>
  <c r="AJ78" i="9" s="1"/>
  <c r="AI75" i="9"/>
  <c r="AI76" i="9" s="1"/>
  <c r="AI77" i="9" s="1"/>
  <c r="AI78" i="9" s="1"/>
  <c r="AH75" i="9"/>
  <c r="AH76" i="9" s="1"/>
  <c r="AH77" i="9" s="1"/>
  <c r="AH78" i="9" s="1"/>
  <c r="AG75" i="9"/>
  <c r="AE75" i="9"/>
  <c r="AD75" i="9"/>
  <c r="AD76" i="9" s="1"/>
  <c r="AD77" i="9" s="1"/>
  <c r="AD78" i="9" s="1"/>
  <c r="AC75" i="9"/>
  <c r="AC76" i="9" s="1"/>
  <c r="AB75" i="9"/>
  <c r="AB76" i="9" s="1"/>
  <c r="AB77" i="9" s="1"/>
  <c r="AB78" i="9" s="1"/>
  <c r="AA75" i="9"/>
  <c r="AA76" i="9" s="1"/>
  <c r="AA77" i="9" s="1"/>
  <c r="AA78" i="9" s="1"/>
  <c r="Z75" i="9"/>
  <c r="Y75" i="9"/>
  <c r="X75" i="9"/>
  <c r="W75" i="9"/>
  <c r="W76" i="9" s="1"/>
  <c r="W77" i="9" s="1"/>
  <c r="W78" i="9" s="1"/>
  <c r="V75" i="9"/>
  <c r="V76" i="9" s="1"/>
  <c r="V77" i="9" s="1"/>
  <c r="V78" i="9" s="1"/>
  <c r="T75" i="9"/>
  <c r="S75" i="9"/>
  <c r="S76" i="9" s="1"/>
  <c r="S77" i="9" s="1"/>
  <c r="S78" i="9" s="1"/>
  <c r="R75" i="9"/>
  <c r="R76" i="9" s="1"/>
  <c r="R77" i="9" s="1"/>
  <c r="R78" i="9" s="1"/>
  <c r="Q75" i="9"/>
  <c r="Q76" i="9" s="1"/>
  <c r="Q77" i="9" s="1"/>
  <c r="Q78" i="9" s="1"/>
  <c r="AK74" i="9"/>
  <c r="AF74" i="9"/>
  <c r="AF73" i="9"/>
  <c r="AK73" i="9" s="1"/>
  <c r="L73" i="9"/>
  <c r="AF72" i="9"/>
  <c r="U72" i="9"/>
  <c r="U75" i="9" s="1"/>
  <c r="U76" i="9" s="1"/>
  <c r="U77" i="9" s="1"/>
  <c r="U78" i="9" s="1"/>
  <c r="AF71" i="9"/>
  <c r="U71" i="9"/>
  <c r="AF70" i="9"/>
  <c r="AF75" i="9" s="1"/>
  <c r="AJ62" i="9"/>
  <c r="AE62" i="9"/>
  <c r="AD62" i="9"/>
  <c r="Z62" i="9"/>
  <c r="Y62" i="9"/>
  <c r="X62" i="9"/>
  <c r="T62" i="9"/>
  <c r="S62" i="9"/>
  <c r="R62" i="9"/>
  <c r="AJ61" i="9"/>
  <c r="AI61" i="9"/>
  <c r="AI62" i="9" s="1"/>
  <c r="AH61" i="9"/>
  <c r="AH62" i="9" s="1"/>
  <c r="AG61" i="9"/>
  <c r="AG62" i="9" s="1"/>
  <c r="AE61" i="9"/>
  <c r="AD61" i="9"/>
  <c r="AC61" i="9"/>
  <c r="AC62" i="9" s="1"/>
  <c r="AB61" i="9"/>
  <c r="AB62" i="9" s="1"/>
  <c r="AA61" i="9"/>
  <c r="AA62" i="9" s="1"/>
  <c r="Z61" i="9"/>
  <c r="Y61" i="9"/>
  <c r="X61" i="9"/>
  <c r="W61" i="9"/>
  <c r="W62" i="9" s="1"/>
  <c r="V61" i="9"/>
  <c r="V62" i="9" s="1"/>
  <c r="U61" i="9"/>
  <c r="U62" i="9" s="1"/>
  <c r="T61" i="9"/>
  <c r="S61" i="9"/>
  <c r="R61" i="9"/>
  <c r="Q61" i="9"/>
  <c r="Q62" i="9" s="1"/>
  <c r="AK60" i="9"/>
  <c r="AK59" i="9"/>
  <c r="AF59" i="9"/>
  <c r="AK58" i="9"/>
  <c r="AK57" i="9"/>
  <c r="AK56" i="9"/>
  <c r="AK55" i="9"/>
  <c r="AK54" i="9"/>
  <c r="AF54" i="9"/>
  <c r="AK53" i="9"/>
  <c r="AF53" i="9"/>
  <c r="AF52" i="9"/>
  <c r="AK52" i="9" s="1"/>
  <c r="AK51" i="9"/>
  <c r="AK50" i="9"/>
  <c r="AF50" i="9"/>
  <c r="AF49" i="9"/>
  <c r="AK49" i="9" s="1"/>
  <c r="AF48" i="9"/>
  <c r="AK48" i="9" s="1"/>
  <c r="AK47" i="9"/>
  <c r="AF47" i="9"/>
  <c r="AF46" i="9"/>
  <c r="AF61" i="9" s="1"/>
  <c r="AF62" i="9" s="1"/>
  <c r="AK45" i="9"/>
  <c r="AK44" i="9"/>
  <c r="AK43" i="9"/>
  <c r="AF43" i="9"/>
  <c r="AJ39" i="9"/>
  <c r="AI39" i="9"/>
  <c r="AH39" i="9"/>
  <c r="AD39" i="9"/>
  <c r="AC39" i="9"/>
  <c r="AB39" i="9"/>
  <c r="X39" i="9"/>
  <c r="W39" i="9"/>
  <c r="V39" i="9"/>
  <c r="R39" i="9"/>
  <c r="Q39" i="9"/>
  <c r="AK38" i="9"/>
  <c r="AK39" i="9" s="1"/>
  <c r="AJ38" i="9"/>
  <c r="AI38" i="9"/>
  <c r="AH38" i="9"/>
  <c r="AG38" i="9"/>
  <c r="AG39" i="9" s="1"/>
  <c r="AF38" i="9"/>
  <c r="AF39" i="9" s="1"/>
  <c r="AE38" i="9"/>
  <c r="AE39" i="9" s="1"/>
  <c r="AD38" i="9"/>
  <c r="AC38" i="9"/>
  <c r="AB38" i="9"/>
  <c r="AA38" i="9"/>
  <c r="AA39" i="9" s="1"/>
  <c r="Z38" i="9"/>
  <c r="Z39" i="9" s="1"/>
  <c r="Y38" i="9"/>
  <c r="Y39" i="9" s="1"/>
  <c r="X38" i="9"/>
  <c r="W38" i="9"/>
  <c r="V38" i="9"/>
  <c r="U38" i="9"/>
  <c r="U39" i="9" s="1"/>
  <c r="T38" i="9"/>
  <c r="T39" i="9" s="1"/>
  <c r="S38" i="9"/>
  <c r="S39" i="9" s="1"/>
  <c r="R38" i="9"/>
  <c r="Q38" i="9"/>
  <c r="AK37" i="9"/>
  <c r="AI33" i="9"/>
  <c r="AC33" i="9"/>
  <c r="AC63" i="9" s="1"/>
  <c r="AC64" i="9" s="1"/>
  <c r="W33" i="9"/>
  <c r="W63" i="9" s="1"/>
  <c r="W64" i="9" s="1"/>
  <c r="Q33" i="9"/>
  <c r="Q63" i="9" s="1"/>
  <c r="Q64" i="9" s="1"/>
  <c r="AJ32" i="9"/>
  <c r="AI32" i="9"/>
  <c r="AH32" i="9"/>
  <c r="AH33" i="9" s="1"/>
  <c r="AH63" i="9" s="1"/>
  <c r="AH64" i="9" s="1"/>
  <c r="AG32" i="9"/>
  <c r="AF32" i="9"/>
  <c r="AE32" i="9"/>
  <c r="AD32" i="9"/>
  <c r="AC32" i="9"/>
  <c r="AB32" i="9"/>
  <c r="AB33" i="9" s="1"/>
  <c r="AA32" i="9"/>
  <c r="Z32" i="9"/>
  <c r="Y32" i="9"/>
  <c r="X32" i="9"/>
  <c r="W32" i="9"/>
  <c r="V32" i="9"/>
  <c r="V33" i="9" s="1"/>
  <c r="U32" i="9"/>
  <c r="T32" i="9"/>
  <c r="S32" i="9"/>
  <c r="R32" i="9"/>
  <c r="Q32" i="9"/>
  <c r="AK31" i="9"/>
  <c r="AK32" i="9" s="1"/>
  <c r="AK28" i="9"/>
  <c r="AK33" i="9" s="1"/>
  <c r="AJ28" i="9"/>
  <c r="AJ33" i="9" s="1"/>
  <c r="AJ63" i="9" s="1"/>
  <c r="AJ64" i="9" s="1"/>
  <c r="AI28" i="9"/>
  <c r="AH28" i="9"/>
  <c r="AG28" i="9"/>
  <c r="AG33" i="9" s="1"/>
  <c r="AG63" i="9" s="1"/>
  <c r="AG64" i="9" s="1"/>
  <c r="AF28" i="9"/>
  <c r="AF33" i="9" s="1"/>
  <c r="AF63" i="9" s="1"/>
  <c r="AF64" i="9" s="1"/>
  <c r="AE28" i="9"/>
  <c r="AE33" i="9" s="1"/>
  <c r="AE63" i="9" s="1"/>
  <c r="AE64" i="9" s="1"/>
  <c r="AD28" i="9"/>
  <c r="AD33" i="9" s="1"/>
  <c r="AD63" i="9" s="1"/>
  <c r="AD64" i="9" s="1"/>
  <c r="AC28" i="9"/>
  <c r="AB28" i="9"/>
  <c r="AA28" i="9"/>
  <c r="AA33" i="9" s="1"/>
  <c r="AA63" i="9" s="1"/>
  <c r="AA64" i="9" s="1"/>
  <c r="Z28" i="9"/>
  <c r="Z33" i="9" s="1"/>
  <c r="Z63" i="9" s="1"/>
  <c r="Z64" i="9" s="1"/>
  <c r="Y28" i="9"/>
  <c r="Y33" i="9" s="1"/>
  <c r="Y63" i="9" s="1"/>
  <c r="Y64" i="9" s="1"/>
  <c r="X28" i="9"/>
  <c r="X33" i="9" s="1"/>
  <c r="X63" i="9" s="1"/>
  <c r="X64" i="9" s="1"/>
  <c r="W28" i="9"/>
  <c r="V28" i="9"/>
  <c r="U28" i="9"/>
  <c r="U33" i="9" s="1"/>
  <c r="U63" i="9" s="1"/>
  <c r="U64" i="9" s="1"/>
  <c r="T28" i="9"/>
  <c r="T33" i="9" s="1"/>
  <c r="T63" i="9" s="1"/>
  <c r="T64" i="9" s="1"/>
  <c r="S28" i="9"/>
  <c r="S33" i="9" s="1"/>
  <c r="S63" i="9" s="1"/>
  <c r="S64" i="9" s="1"/>
  <c r="R28" i="9"/>
  <c r="R33" i="9" s="1"/>
  <c r="R63" i="9" s="1"/>
  <c r="R64" i="9" s="1"/>
  <c r="Q28" i="9"/>
  <c r="AK27" i="9"/>
  <c r="AJ19" i="9"/>
  <c r="AJ20" i="9" s="1"/>
  <c r="AJ21" i="9" s="1"/>
  <c r="AI19" i="9"/>
  <c r="AI20" i="9" s="1"/>
  <c r="AI21" i="9" s="1"/>
  <c r="AH19" i="9"/>
  <c r="AH20" i="9" s="1"/>
  <c r="AH21" i="9" s="1"/>
  <c r="AD19" i="9"/>
  <c r="AD20" i="9" s="1"/>
  <c r="AD21" i="9" s="1"/>
  <c r="AC19" i="9"/>
  <c r="AC20" i="9" s="1"/>
  <c r="AC21" i="9" s="1"/>
  <c r="AB19" i="9"/>
  <c r="AB20" i="9" s="1"/>
  <c r="AB21" i="9" s="1"/>
  <c r="X19" i="9"/>
  <c r="X20" i="9" s="1"/>
  <c r="X21" i="9" s="1"/>
  <c r="W19" i="9"/>
  <c r="W20" i="9" s="1"/>
  <c r="W21" i="9" s="1"/>
  <c r="V19" i="9"/>
  <c r="V20" i="9" s="1"/>
  <c r="V21" i="9" s="1"/>
  <c r="R19" i="9"/>
  <c r="R20" i="9" s="1"/>
  <c r="R21" i="9" s="1"/>
  <c r="Q19" i="9"/>
  <c r="Q20" i="9" s="1"/>
  <c r="Q21" i="9" s="1"/>
  <c r="AJ18" i="9"/>
  <c r="AI18" i="9"/>
  <c r="AH18" i="9"/>
  <c r="AG18" i="9"/>
  <c r="AG19" i="9" s="1"/>
  <c r="AG20" i="9" s="1"/>
  <c r="AG21" i="9" s="1"/>
  <c r="AE18" i="9"/>
  <c r="AE19" i="9" s="1"/>
  <c r="AE20" i="9" s="1"/>
  <c r="AE21" i="9" s="1"/>
  <c r="AD18" i="9"/>
  <c r="AC18" i="9"/>
  <c r="AB18" i="9"/>
  <c r="AA18" i="9"/>
  <c r="AA19" i="9" s="1"/>
  <c r="AA20" i="9" s="1"/>
  <c r="AA21" i="9" s="1"/>
  <c r="Z18" i="9"/>
  <c r="Z19" i="9" s="1"/>
  <c r="Z20" i="9" s="1"/>
  <c r="Z21" i="9" s="1"/>
  <c r="Y18" i="9"/>
  <c r="Y19" i="9" s="1"/>
  <c r="Y20" i="9" s="1"/>
  <c r="Y21" i="9" s="1"/>
  <c r="X18" i="9"/>
  <c r="W18" i="9"/>
  <c r="V18" i="9"/>
  <c r="U18" i="9"/>
  <c r="U19" i="9" s="1"/>
  <c r="U20" i="9" s="1"/>
  <c r="U21" i="9" s="1"/>
  <c r="T18" i="9"/>
  <c r="T19" i="9" s="1"/>
  <c r="T20" i="9" s="1"/>
  <c r="T21" i="9" s="1"/>
  <c r="S18" i="9"/>
  <c r="S19" i="9" s="1"/>
  <c r="S20" i="9" s="1"/>
  <c r="S21" i="9" s="1"/>
  <c r="R18" i="9"/>
  <c r="Q18" i="9"/>
  <c r="AF17" i="9"/>
  <c r="AK17" i="9" s="1"/>
  <c r="AF16" i="9"/>
  <c r="AK16" i="9" s="1"/>
  <c r="AK15" i="9"/>
  <c r="AF15" i="9"/>
  <c r="AF14" i="9"/>
  <c r="AK14" i="9" s="1"/>
  <c r="L14" i="9"/>
  <c r="AK13" i="9"/>
  <c r="AF13" i="9"/>
  <c r="L13" i="9"/>
  <c r="AF12" i="9"/>
  <c r="AK12" i="9" s="1"/>
  <c r="L12" i="9"/>
  <c r="AK11" i="9"/>
  <c r="AF11" i="9"/>
  <c r="L11" i="9"/>
  <c r="AF10" i="9"/>
  <c r="AK10" i="9" s="1"/>
  <c r="L10" i="9"/>
  <c r="AK18" i="9" l="1"/>
  <c r="AK19" i="9" s="1"/>
  <c r="AK20" i="9" s="1"/>
  <c r="AK21" i="9" s="1"/>
  <c r="V63" i="9"/>
  <c r="V64" i="9" s="1"/>
  <c r="AB63" i="9"/>
  <c r="AB64" i="9" s="1"/>
  <c r="AI63" i="9"/>
  <c r="AI64" i="9" s="1"/>
  <c r="AC114" i="9"/>
  <c r="AI114" i="9"/>
  <c r="AF18" i="9"/>
  <c r="AF19" i="9" s="1"/>
  <c r="AF20" i="9" s="1"/>
  <c r="AF21" i="9" s="1"/>
  <c r="AK91" i="9"/>
  <c r="AK98" i="9" s="1"/>
  <c r="AK99" i="9" s="1"/>
  <c r="AK100" i="9" s="1"/>
  <c r="AE114" i="9"/>
  <c r="AD114" i="9"/>
  <c r="AF142" i="9"/>
  <c r="AF154" i="9" s="1"/>
  <c r="AK138" i="9"/>
  <c r="AF249" i="9"/>
  <c r="AK246" i="9"/>
  <c r="AK249" i="9" s="1"/>
  <c r="AK293" i="9"/>
  <c r="AK294" i="9" s="1"/>
  <c r="AK295" i="9" s="1"/>
  <c r="AK72" i="9"/>
  <c r="AK105" i="9"/>
  <c r="AK111" i="9" s="1"/>
  <c r="AK112" i="9" s="1"/>
  <c r="AK113" i="9" s="1"/>
  <c r="AK163" i="9"/>
  <c r="S170" i="9"/>
  <c r="Y170" i="9"/>
  <c r="AE170" i="9"/>
  <c r="AE192" i="9"/>
  <c r="S224" i="9"/>
  <c r="S225" i="9" s="1"/>
  <c r="AH224" i="9"/>
  <c r="AH225" i="9" s="1"/>
  <c r="AK46" i="9"/>
  <c r="AK61" i="9" s="1"/>
  <c r="AK62" i="9" s="1"/>
  <c r="AK63" i="9" s="1"/>
  <c r="AK64" i="9" s="1"/>
  <c r="AK70" i="9"/>
  <c r="S98" i="9"/>
  <c r="S99" i="9" s="1"/>
  <c r="S100" i="9" s="1"/>
  <c r="Y114" i="9"/>
  <c r="R114" i="9"/>
  <c r="AJ114" i="9"/>
  <c r="AF132" i="9"/>
  <c r="AF133" i="9" s="1"/>
  <c r="AK129" i="9"/>
  <c r="AK132" i="9" s="1"/>
  <c r="AK133" i="9" s="1"/>
  <c r="T133" i="9"/>
  <c r="AG170" i="9"/>
  <c r="W170" i="9"/>
  <c r="S192" i="9"/>
  <c r="S193" i="9" s="1"/>
  <c r="Y192" i="9"/>
  <c r="Y193" i="9" s="1"/>
  <c r="AH193" i="9"/>
  <c r="AF222" i="9"/>
  <c r="AF223" i="9" s="1"/>
  <c r="AK221" i="9"/>
  <c r="AK71" i="9"/>
  <c r="AG114" i="9"/>
  <c r="AJ154" i="9"/>
  <c r="AF168" i="9"/>
  <c r="AF169" i="9" s="1"/>
  <c r="AK166" i="9"/>
  <c r="AK168" i="9" s="1"/>
  <c r="AK169" i="9" s="1"/>
  <c r="U170" i="9"/>
  <c r="AA170" i="9"/>
  <c r="V212" i="9"/>
  <c r="AB212" i="9"/>
  <c r="AD224" i="9"/>
  <c r="AD225" i="9" s="1"/>
  <c r="AF243" i="9"/>
  <c r="AK241" i="9"/>
  <c r="AK243" i="9" s="1"/>
  <c r="U114" i="9"/>
  <c r="AA114" i="9"/>
  <c r="AH114" i="9"/>
  <c r="X114" i="9"/>
  <c r="Z114" i="9"/>
  <c r="R154" i="9"/>
  <c r="R170" i="9" s="1"/>
  <c r="R193" i="9" s="1"/>
  <c r="X154" i="9"/>
  <c r="AD154" i="9"/>
  <c r="V193" i="9"/>
  <c r="AK212" i="9"/>
  <c r="AE224" i="9"/>
  <c r="AE225" i="9" s="1"/>
  <c r="S114" i="9"/>
  <c r="V114" i="9"/>
  <c r="AB114" i="9"/>
  <c r="AF114" i="9"/>
  <c r="AK142" i="9"/>
  <c r="AJ170" i="9"/>
  <c r="AJ193" i="9" s="1"/>
  <c r="AD170" i="9"/>
  <c r="AD193" i="9" s="1"/>
  <c r="AK186" i="9"/>
  <c r="AK191" i="9" s="1"/>
  <c r="AK192" i="9" s="1"/>
  <c r="W193" i="9"/>
  <c r="T169" i="9"/>
  <c r="T170" i="9" s="1"/>
  <c r="T193" i="9" s="1"/>
  <c r="Z169" i="9"/>
  <c r="Z170" i="9" s="1"/>
  <c r="Z193" i="9" s="1"/>
  <c r="Q170" i="9"/>
  <c r="X170" i="9"/>
  <c r="X193" i="9" s="1"/>
  <c r="V223" i="9"/>
  <c r="V224" i="9" s="1"/>
  <c r="V225" i="9" s="1"/>
  <c r="AB223" i="9"/>
  <c r="AI223" i="9"/>
  <c r="AI224" i="9" s="1"/>
  <c r="AI225" i="9" s="1"/>
  <c r="T250" i="9"/>
  <c r="Z250" i="9"/>
  <c r="Q266" i="9"/>
  <c r="Q267" i="9" s="1"/>
  <c r="AJ265" i="9"/>
  <c r="AF191" i="9"/>
  <c r="AF192" i="9" s="1"/>
  <c r="Q192" i="9"/>
  <c r="Q193" i="9" s="1"/>
  <c r="AI192" i="9"/>
  <c r="Q223" i="9"/>
  <c r="Q224" i="9" s="1"/>
  <c r="Q225" i="9" s="1"/>
  <c r="W223" i="9"/>
  <c r="W224" i="9" s="1"/>
  <c r="W225" i="9" s="1"/>
  <c r="AC223" i="9"/>
  <c r="AC224" i="9" s="1"/>
  <c r="AC225" i="9" s="1"/>
  <c r="Y224" i="9"/>
  <c r="Y225" i="9" s="1"/>
  <c r="AK233" i="9"/>
  <c r="AK236" i="9" s="1"/>
  <c r="U250" i="9"/>
  <c r="U266" i="9" s="1"/>
  <c r="U267" i="9" s="1"/>
  <c r="AA250" i="9"/>
  <c r="AG250" i="9"/>
  <c r="AG266" i="9"/>
  <c r="AG267" i="9" s="1"/>
  <c r="R265" i="9"/>
  <c r="X265" i="9"/>
  <c r="AD265" i="9"/>
  <c r="AD266" i="9" s="1"/>
  <c r="AD267" i="9" s="1"/>
  <c r="AK151" i="9"/>
  <c r="AK153" i="9" s="1"/>
  <c r="AK183" i="9"/>
  <c r="U191" i="9"/>
  <c r="U192" i="9" s="1"/>
  <c r="U193" i="9" s="1"/>
  <c r="AA191" i="9"/>
  <c r="AA192" i="9" s="1"/>
  <c r="AA193" i="9" s="1"/>
  <c r="AG191" i="9"/>
  <c r="AG192" i="9" s="1"/>
  <c r="AG193" i="9" s="1"/>
  <c r="T212" i="9"/>
  <c r="Z212" i="9"/>
  <c r="AF212" i="9"/>
  <c r="Z224" i="9"/>
  <c r="Z225" i="9" s="1"/>
  <c r="AH266" i="9"/>
  <c r="AH267" i="9" s="1"/>
  <c r="S265" i="9"/>
  <c r="S266" i="9" s="1"/>
  <c r="S267" i="9" s="1"/>
  <c r="Y265" i="9"/>
  <c r="Y266" i="9" s="1"/>
  <c r="Y267" i="9" s="1"/>
  <c r="AE265" i="9"/>
  <c r="AE266" i="9" s="1"/>
  <c r="AE267" i="9" s="1"/>
  <c r="R294" i="9"/>
  <c r="R295" i="9" s="1"/>
  <c r="X294" i="9"/>
  <c r="X295" i="9" s="1"/>
  <c r="AF304" i="9"/>
  <c r="AF327" i="9" s="1"/>
  <c r="AF328" i="9" s="1"/>
  <c r="AK300" i="9"/>
  <c r="AK304" i="9" s="1"/>
  <c r="Y341" i="9"/>
  <c r="AE341" i="9"/>
  <c r="Z357" i="9"/>
  <c r="Z358" i="9" s="1"/>
  <c r="AI170" i="9"/>
  <c r="AC192" i="9"/>
  <c r="AC193" i="9" s="1"/>
  <c r="U212" i="9"/>
  <c r="U224" i="9" s="1"/>
  <c r="U225" i="9" s="1"/>
  <c r="AA212" i="9"/>
  <c r="AA224" i="9" s="1"/>
  <c r="AA225" i="9" s="1"/>
  <c r="AG212" i="9"/>
  <c r="AG224" i="9" s="1"/>
  <c r="AG225" i="9" s="1"/>
  <c r="T266" i="9"/>
  <c r="T267" i="9" s="1"/>
  <c r="Z266" i="9"/>
  <c r="Z267" i="9" s="1"/>
  <c r="S294" i="9"/>
  <c r="S295" i="9" s="1"/>
  <c r="S341" i="9" s="1"/>
  <c r="Y294" i="9"/>
  <c r="Y295" i="9" s="1"/>
  <c r="AE294" i="9"/>
  <c r="AE295" i="9" s="1"/>
  <c r="W327" i="9"/>
  <c r="W328" i="9" s="1"/>
  <c r="T341" i="9"/>
  <c r="V341" i="9"/>
  <c r="AH341" i="9"/>
  <c r="AC170" i="9"/>
  <c r="AK222" i="9"/>
  <c r="AK223" i="9" s="1"/>
  <c r="AK224" i="9" s="1"/>
  <c r="AK225" i="9" s="1"/>
  <c r="T224" i="9"/>
  <c r="T225" i="9" s="1"/>
  <c r="R250" i="9"/>
  <c r="X250" i="9"/>
  <c r="AD250" i="9"/>
  <c r="AJ250" i="9"/>
  <c r="W341" i="9"/>
  <c r="AK357" i="9"/>
  <c r="AK358" i="9" s="1"/>
  <c r="V357" i="9"/>
  <c r="V358" i="9" s="1"/>
  <c r="AF442" i="9"/>
  <c r="AK440" i="9"/>
  <c r="AK442" i="9" s="1"/>
  <c r="R463" i="9"/>
  <c r="R464" i="9" s="1"/>
  <c r="AJ463" i="9"/>
  <c r="AJ464" i="9" s="1"/>
  <c r="AF264" i="9"/>
  <c r="AF265" i="9" s="1"/>
  <c r="T294" i="9"/>
  <c r="T295" i="9" s="1"/>
  <c r="Z294" i="9"/>
  <c r="Z295" i="9" s="1"/>
  <c r="Z341" i="9" s="1"/>
  <c r="AF293" i="9"/>
  <c r="AF294" i="9" s="1"/>
  <c r="AF295" i="9" s="1"/>
  <c r="AF338" i="9"/>
  <c r="AF339" i="9" s="1"/>
  <c r="AF340" i="9" s="1"/>
  <c r="AA341" i="9"/>
  <c r="W357" i="9"/>
  <c r="W358" i="9" s="1"/>
  <c r="S463" i="9"/>
  <c r="S464" i="9" s="1"/>
  <c r="AK320" i="9"/>
  <c r="AK327" i="9" s="1"/>
  <c r="AK328" i="9" s="1"/>
  <c r="AK341" i="9" s="1"/>
  <c r="AH357" i="9"/>
  <c r="AH358" i="9" s="1"/>
  <c r="AK364" i="9"/>
  <c r="AK367" i="9" s="1"/>
  <c r="AB376" i="9"/>
  <c r="AK375" i="9"/>
  <c r="AG381" i="9"/>
  <c r="AB413" i="9"/>
  <c r="AK410" i="9"/>
  <c r="AK413" i="9" s="1"/>
  <c r="AK418" i="9" s="1"/>
  <c r="V418" i="9"/>
  <c r="AB418" i="9"/>
  <c r="AH418" i="9"/>
  <c r="AK433" i="9"/>
  <c r="T463" i="9"/>
  <c r="T464" i="9" s="1"/>
  <c r="AK307" i="9"/>
  <c r="AK313" i="9" s="1"/>
  <c r="AI313" i="9"/>
  <c r="AI327" i="9" s="1"/>
  <c r="AI328" i="9" s="1"/>
  <c r="AI341" i="9" s="1"/>
  <c r="U341" i="9"/>
  <c r="S357" i="9"/>
  <c r="S358" i="9" s="1"/>
  <c r="Y357" i="9"/>
  <c r="Y358" i="9" s="1"/>
  <c r="AE357" i="9"/>
  <c r="AE358" i="9" s="1"/>
  <c r="Q357" i="9"/>
  <c r="Q358" i="9" s="1"/>
  <c r="AI357" i="9"/>
  <c r="AI358" i="9" s="1"/>
  <c r="AK376" i="9"/>
  <c r="AF413" i="9"/>
  <c r="S456" i="9"/>
  <c r="Y456" i="9"/>
  <c r="Y463" i="9" s="1"/>
  <c r="Y464" i="9" s="1"/>
  <c r="AE456" i="9"/>
  <c r="AE463" i="9" s="1"/>
  <c r="AE464" i="9" s="1"/>
  <c r="U463" i="9"/>
  <c r="U464" i="9" s="1"/>
  <c r="AG463" i="9"/>
  <c r="AG464" i="9" s="1"/>
  <c r="AA266" i="9"/>
  <c r="AA267" i="9" s="1"/>
  <c r="AF349" i="9"/>
  <c r="AF350" i="9" s="1"/>
  <c r="AF355" i="9"/>
  <c r="AF356" i="9" s="1"/>
  <c r="AF357" i="9" s="1"/>
  <c r="AF358" i="9" s="1"/>
  <c r="AB357" i="9"/>
  <c r="AB358" i="9" s="1"/>
  <c r="AB381" i="9"/>
  <c r="AB463" i="9" s="1"/>
  <c r="AB464" i="9" s="1"/>
  <c r="AF456" i="9"/>
  <c r="V463" i="9"/>
  <c r="V464" i="9" s="1"/>
  <c r="AH463" i="9"/>
  <c r="AH464" i="9" s="1"/>
  <c r="Z463" i="9"/>
  <c r="Z464" i="9" s="1"/>
  <c r="R341" i="9"/>
  <c r="X341" i="9"/>
  <c r="AD341" i="9"/>
  <c r="AJ341" i="9"/>
  <c r="AG341" i="9"/>
  <c r="AK349" i="9"/>
  <c r="AK350" i="9" s="1"/>
  <c r="AC357" i="9"/>
  <c r="AC358" i="9" s="1"/>
  <c r="AK412" i="9"/>
  <c r="AF427" i="9"/>
  <c r="AF436" i="9" s="1"/>
  <c r="AA463" i="9"/>
  <c r="AA464" i="9" s="1"/>
  <c r="Q463" i="9"/>
  <c r="Q464" i="9" s="1"/>
  <c r="AI463" i="9"/>
  <c r="AI464" i="9" s="1"/>
  <c r="AC463" i="9"/>
  <c r="AC464" i="9" s="1"/>
  <c r="AF393" i="9"/>
  <c r="Q495" i="9"/>
  <c r="W495" i="9"/>
  <c r="AC495" i="9"/>
  <c r="AJ495" i="9"/>
  <c r="W529" i="9"/>
  <c r="W530" i="9" s="1"/>
  <c r="R660" i="9"/>
  <c r="X660" i="9"/>
  <c r="AD660" i="9"/>
  <c r="AK396" i="9"/>
  <c r="AK406" i="9" s="1"/>
  <c r="AK445" i="9"/>
  <c r="AK446" i="9" s="1"/>
  <c r="AK449" i="9"/>
  <c r="AK450" i="9" s="1"/>
  <c r="AK453" i="9"/>
  <c r="AK455" i="9" s="1"/>
  <c r="AK456" i="9" s="1"/>
  <c r="AF472" i="9"/>
  <c r="AF473" i="9" s="1"/>
  <c r="AK470" i="9"/>
  <c r="AK472" i="9" s="1"/>
  <c r="AK473" i="9" s="1"/>
  <c r="R495" i="9"/>
  <c r="X495" i="9"/>
  <c r="AD495" i="9"/>
  <c r="AK495" i="9"/>
  <c r="X529" i="9"/>
  <c r="X530" i="9" s="1"/>
  <c r="AJ529" i="9"/>
  <c r="AJ530" i="9" s="1"/>
  <c r="W367" i="9"/>
  <c r="W381" i="9" s="1"/>
  <c r="W463" i="9" s="1"/>
  <c r="W464" i="9" s="1"/>
  <c r="AK424" i="9"/>
  <c r="AK427" i="9" s="1"/>
  <c r="AK432" i="9"/>
  <c r="AK435" i="9" s="1"/>
  <c r="S495" i="9"/>
  <c r="S529" i="9" s="1"/>
  <c r="S530" i="9" s="1"/>
  <c r="Y495" i="9"/>
  <c r="Y529" i="9" s="1"/>
  <c r="Y530" i="9" s="1"/>
  <c r="AE495" i="9"/>
  <c r="AF501" i="9"/>
  <c r="AK504" i="9"/>
  <c r="AK506" i="9" s="1"/>
  <c r="AK519" i="9" s="1"/>
  <c r="U519" i="9"/>
  <c r="U529" i="9" s="1"/>
  <c r="U530" i="9" s="1"/>
  <c r="AA519" i="9"/>
  <c r="AA529" i="9" s="1"/>
  <c r="AA530" i="9" s="1"/>
  <c r="AG519" i="9"/>
  <c r="AG529" i="9" s="1"/>
  <c r="AG530" i="9" s="1"/>
  <c r="R529" i="9"/>
  <c r="R530" i="9" s="1"/>
  <c r="AK563" i="9"/>
  <c r="AJ694" i="9"/>
  <c r="AK501" i="9"/>
  <c r="V519" i="9"/>
  <c r="AB519" i="9"/>
  <c r="AB529" i="9" s="1"/>
  <c r="AB530" i="9" s="1"/>
  <c r="AH519" i="9"/>
  <c r="AH529" i="9" s="1"/>
  <c r="AH530" i="9" s="1"/>
  <c r="AC529" i="9"/>
  <c r="AC530" i="9" s="1"/>
  <c r="AK569" i="9"/>
  <c r="AK583" i="9"/>
  <c r="AE529" i="9"/>
  <c r="AE530" i="9" s="1"/>
  <c r="Q529" i="9"/>
  <c r="Q530" i="9" s="1"/>
  <c r="AD529" i="9"/>
  <c r="AD530" i="9" s="1"/>
  <c r="AE618" i="9"/>
  <c r="AK379" i="9"/>
  <c r="AK380" i="9" s="1"/>
  <c r="AK381" i="9" s="1"/>
  <c r="AF484" i="9"/>
  <c r="AI495" i="9"/>
  <c r="AI529" i="9" s="1"/>
  <c r="AI530" i="9" s="1"/>
  <c r="AF519" i="9"/>
  <c r="V529" i="9"/>
  <c r="V530" i="9" s="1"/>
  <c r="AD618" i="9"/>
  <c r="AJ618" i="9"/>
  <c r="AK632" i="9"/>
  <c r="Z743" i="9"/>
  <c r="S618" i="9"/>
  <c r="S669" i="9" s="1"/>
  <c r="S670" i="9" s="1"/>
  <c r="S671" i="9" s="1"/>
  <c r="Z627" i="9"/>
  <c r="AK626" i="9"/>
  <c r="AK627" i="9" s="1"/>
  <c r="R669" i="9"/>
  <c r="R670" i="9" s="1"/>
  <c r="AD669" i="9"/>
  <c r="AD670" i="9" s="1"/>
  <c r="AF494" i="9"/>
  <c r="AK526" i="9"/>
  <c r="AK527" i="9" s="1"/>
  <c r="AK528" i="9" s="1"/>
  <c r="AK606" i="9"/>
  <c r="X617" i="9"/>
  <c r="AA618" i="9"/>
  <c r="AA669" i="9" s="1"/>
  <c r="AA670" i="9" s="1"/>
  <c r="AA671" i="9" s="1"/>
  <c r="AA744" i="9" s="1"/>
  <c r="AG618" i="9"/>
  <c r="T632" i="9"/>
  <c r="Z632" i="9"/>
  <c r="AF632" i="9"/>
  <c r="AE669" i="9"/>
  <c r="AE670" i="9" s="1"/>
  <c r="R694" i="9"/>
  <c r="X694" i="9"/>
  <c r="AD694" i="9"/>
  <c r="AD713" i="9" s="1"/>
  <c r="AD714" i="9" s="1"/>
  <c r="AD743" i="9" s="1"/>
  <c r="W713" i="9"/>
  <c r="W714" i="9" s="1"/>
  <c r="W743" i="9" s="1"/>
  <c r="AI713" i="9"/>
  <c r="AI714" i="9" s="1"/>
  <c r="AI743" i="9" s="1"/>
  <c r="T743" i="9"/>
  <c r="X549" i="9"/>
  <c r="X550" i="9" s="1"/>
  <c r="X563" i="9"/>
  <c r="T618" i="9"/>
  <c r="Z618" i="9"/>
  <c r="AF618" i="9"/>
  <c r="U618" i="9"/>
  <c r="AH660" i="9"/>
  <c r="AK667" i="9"/>
  <c r="AK668" i="9" s="1"/>
  <c r="AF667" i="9"/>
  <c r="AF668" i="9" s="1"/>
  <c r="AG687" i="9"/>
  <c r="AG694" i="9" s="1"/>
  <c r="AG713" i="9" s="1"/>
  <c r="AG714" i="9" s="1"/>
  <c r="AG743" i="9" s="1"/>
  <c r="Y713" i="9"/>
  <c r="Y714" i="9" s="1"/>
  <c r="AA743" i="9"/>
  <c r="X583" i="9"/>
  <c r="AC618" i="9"/>
  <c r="AC669" i="9" s="1"/>
  <c r="AC670" i="9" s="1"/>
  <c r="AC671" i="9" s="1"/>
  <c r="AI618" i="9"/>
  <c r="V660" i="9"/>
  <c r="AB660" i="9"/>
  <c r="AB669" i="9" s="1"/>
  <c r="AB670" i="9" s="1"/>
  <c r="AI660" i="9"/>
  <c r="U669" i="9"/>
  <c r="U670" i="9" s="1"/>
  <c r="AG669" i="9"/>
  <c r="AG670" i="9" s="1"/>
  <c r="AG679" i="9"/>
  <c r="AK677" i="9"/>
  <c r="AK679" i="9" s="1"/>
  <c r="AJ701" i="9"/>
  <c r="AJ706" i="9" s="1"/>
  <c r="AJ713" i="9" s="1"/>
  <c r="AJ714" i="9" s="1"/>
  <c r="AJ743" i="9" s="1"/>
  <c r="AK698" i="9"/>
  <c r="AH706" i="9"/>
  <c r="AH713" i="9" s="1"/>
  <c r="AH714" i="9" s="1"/>
  <c r="AH743" i="9" s="1"/>
  <c r="R713" i="9"/>
  <c r="R714" i="9" s="1"/>
  <c r="R743" i="9" s="1"/>
  <c r="X713" i="9"/>
  <c r="X714" i="9" s="1"/>
  <c r="X743" i="9" s="1"/>
  <c r="AA713" i="9"/>
  <c r="AA714" i="9" s="1"/>
  <c r="S728" i="9"/>
  <c r="S729" i="9" s="1"/>
  <c r="S730" i="9" s="1"/>
  <c r="S743" i="9" s="1"/>
  <c r="Y728" i="9"/>
  <c r="Y729" i="9" s="1"/>
  <c r="Y730" i="9" s="1"/>
  <c r="Y743" i="9" s="1"/>
  <c r="AE728" i="9"/>
  <c r="AE729" i="9" s="1"/>
  <c r="AE730" i="9" s="1"/>
  <c r="AE743" i="9" s="1"/>
  <c r="AK588" i="9"/>
  <c r="V618" i="9"/>
  <c r="AB618" i="9"/>
  <c r="AH618" i="9"/>
  <c r="Q618" i="9"/>
  <c r="W618" i="9"/>
  <c r="AK639" i="9"/>
  <c r="AK660" i="9" s="1"/>
  <c r="Q660" i="9"/>
  <c r="Q669" i="9" s="1"/>
  <c r="Q670" i="9" s="1"/>
  <c r="Q671" i="9" s="1"/>
  <c r="Q744" i="9" s="1"/>
  <c r="W660" i="9"/>
  <c r="W669" i="9" s="1"/>
  <c r="W670" i="9" s="1"/>
  <c r="W671" i="9" s="1"/>
  <c r="W744" i="9" s="1"/>
  <c r="AC660" i="9"/>
  <c r="AJ660" i="9"/>
  <c r="AJ669" i="9" s="1"/>
  <c r="AJ670" i="9" s="1"/>
  <c r="V669" i="9"/>
  <c r="V670" i="9" s="1"/>
  <c r="V671" i="9" s="1"/>
  <c r="AH669" i="9"/>
  <c r="AH670" i="9" s="1"/>
  <c r="AI669" i="9"/>
  <c r="AI670" i="9" s="1"/>
  <c r="U694" i="9"/>
  <c r="U713" i="9" s="1"/>
  <c r="U714" i="9" s="1"/>
  <c r="U743" i="9" s="1"/>
  <c r="AA694" i="9"/>
  <c r="V706" i="9"/>
  <c r="V713" i="9" s="1"/>
  <c r="V714" i="9" s="1"/>
  <c r="V743" i="9" s="1"/>
  <c r="AB706" i="9"/>
  <c r="AB713" i="9" s="1"/>
  <c r="AB714" i="9" s="1"/>
  <c r="AB743" i="9" s="1"/>
  <c r="Q713" i="9"/>
  <c r="Q714" i="9" s="1"/>
  <c r="Q743" i="9" s="1"/>
  <c r="AC713" i="9"/>
  <c r="AC714" i="9" s="1"/>
  <c r="AC743" i="9" s="1"/>
  <c r="AF659" i="9"/>
  <c r="AF679" i="9"/>
  <c r="AF694" i="9" s="1"/>
  <c r="AF713" i="9" s="1"/>
  <c r="AF714" i="9" s="1"/>
  <c r="AF743" i="9" s="1"/>
  <c r="AK614" i="9"/>
  <c r="AK617" i="9" s="1"/>
  <c r="AK618" i="9" s="1"/>
  <c r="Y639" i="9"/>
  <c r="Y660" i="9" s="1"/>
  <c r="Y669" i="9" s="1"/>
  <c r="Y670" i="9" s="1"/>
  <c r="Y671" i="9" s="1"/>
  <c r="Y744" i="9" s="1"/>
  <c r="AF649" i="9"/>
  <c r="AK691" i="9"/>
  <c r="AK693" i="9" s="1"/>
  <c r="AK694" i="9" s="1"/>
  <c r="AA599" i="9"/>
  <c r="AK699" i="9"/>
  <c r="AK724" i="9"/>
  <c r="AK727" i="9" s="1"/>
  <c r="AK728" i="9" s="1"/>
  <c r="AK729" i="9" s="1"/>
  <c r="AK730" i="9" s="1"/>
  <c r="AC744" i="9" l="1"/>
  <c r="AK436" i="9"/>
  <c r="AK463" i="9" s="1"/>
  <c r="AK464" i="9" s="1"/>
  <c r="AK529" i="9"/>
  <c r="AK530" i="9" s="1"/>
  <c r="S744" i="9"/>
  <c r="AD671" i="9"/>
  <c r="AD744" i="9" s="1"/>
  <c r="AJ266" i="9"/>
  <c r="AJ267" i="9" s="1"/>
  <c r="AJ671" i="9" s="1"/>
  <c r="AJ744" i="9" s="1"/>
  <c r="AK75" i="9"/>
  <c r="AK76" i="9" s="1"/>
  <c r="AK77" i="9" s="1"/>
  <c r="AK78" i="9" s="1"/>
  <c r="AH671" i="9"/>
  <c r="AH744" i="9" s="1"/>
  <c r="AK669" i="9"/>
  <c r="AK670" i="9" s="1"/>
  <c r="X618" i="9"/>
  <c r="X669" i="9" s="1"/>
  <c r="X670" i="9" s="1"/>
  <c r="AF529" i="9"/>
  <c r="AF530" i="9" s="1"/>
  <c r="AF418" i="9"/>
  <c r="AF463" i="9" s="1"/>
  <c r="AF464" i="9" s="1"/>
  <c r="AF341" i="9"/>
  <c r="AI193" i="9"/>
  <c r="AI671" i="9" s="1"/>
  <c r="AI744" i="9" s="1"/>
  <c r="AG671" i="9"/>
  <c r="AG744" i="9" s="1"/>
  <c r="R671" i="9"/>
  <c r="R744" i="9" s="1"/>
  <c r="X266" i="9"/>
  <c r="X267" i="9" s="1"/>
  <c r="AK701" i="9"/>
  <c r="AK706" i="9" s="1"/>
  <c r="AK713" i="9" s="1"/>
  <c r="AK714" i="9" s="1"/>
  <c r="AK743" i="9" s="1"/>
  <c r="Z669" i="9"/>
  <c r="Z670" i="9" s="1"/>
  <c r="Z671" i="9" s="1"/>
  <c r="Z744" i="9" s="1"/>
  <c r="R266" i="9"/>
  <c r="R267" i="9" s="1"/>
  <c r="AK250" i="9"/>
  <c r="AK266" i="9" s="1"/>
  <c r="AK267" i="9" s="1"/>
  <c r="V744" i="9"/>
  <c r="U671" i="9"/>
  <c r="U744" i="9" s="1"/>
  <c r="T669" i="9"/>
  <c r="T670" i="9" s="1"/>
  <c r="T671" i="9" s="1"/>
  <c r="T744" i="9" s="1"/>
  <c r="AF495" i="9"/>
  <c r="AF224" i="9"/>
  <c r="AF225" i="9" s="1"/>
  <c r="AK114" i="9"/>
  <c r="AF250" i="9"/>
  <c r="AF266" i="9" s="1"/>
  <c r="AF267" i="9" s="1"/>
  <c r="AF660" i="9"/>
  <c r="AF669" i="9" s="1"/>
  <c r="AF670" i="9" s="1"/>
  <c r="AK154" i="9"/>
  <c r="AK170" i="9" s="1"/>
  <c r="AK193" i="9" s="1"/>
  <c r="AB224" i="9"/>
  <c r="AB225" i="9" s="1"/>
  <c r="AB671" i="9" s="1"/>
  <c r="AB744" i="9" s="1"/>
  <c r="AF170" i="9"/>
  <c r="AF193" i="9" s="1"/>
  <c r="AE193" i="9"/>
  <c r="AE671" i="9" s="1"/>
  <c r="AE744" i="9" s="1"/>
  <c r="AF671" i="9" l="1"/>
  <c r="AF744" i="9" s="1"/>
  <c r="X671" i="9"/>
  <c r="X744" i="9" s="1"/>
  <c r="AK671" i="9"/>
  <c r="AK744" i="9" s="1"/>
</calcChain>
</file>

<file path=xl/sharedStrings.xml><?xml version="1.0" encoding="utf-8"?>
<sst xmlns="http://schemas.openxmlformats.org/spreadsheetml/2006/main" count="1722" uniqueCount="949">
  <si>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</si>
  <si>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</si>
  <si>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</si>
  <si>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</si>
  <si>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</si>
  <si>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</si>
  <si>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</si>
  <si>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</si>
  <si>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</si>
  <si>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</si>
  <si>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</si>
  <si>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</si>
  <si>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</si>
  <si>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</si>
  <si>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</si>
  <si>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</si>
  <si>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</si>
  <si>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</si>
  <si>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</si>
  <si>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CONVENIO ANTICONTRABANDO</t>
  </si>
  <si>
    <t>SGP APORTES PATRONALES -EDUCACION  - CANCELACIÓN DE PRESTACIONES SOCIALES -EDUCACIÓN</t>
  </si>
  <si>
    <t>SGP AGUA POTABLE SSF</t>
  </si>
  <si>
    <t xml:space="preserve">RECURSO ORDINARIO </t>
  </si>
  <si>
    <t xml:space="preserve">LEY 1816 (3% MONOPOLIO LICORES) (DEPORTES) </t>
  </si>
  <si>
    <t>TOTAL 2018</t>
  </si>
  <si>
    <t>304 -Secretaría Administrativa</t>
  </si>
  <si>
    <t>BUEN GOBIERNO</t>
  </si>
  <si>
    <t>Gestión Territorial</t>
  </si>
  <si>
    <t>Modernización tecnológica y Administrativa</t>
  </si>
  <si>
    <t>37
38</t>
  </si>
  <si>
    <t xml:space="preserve">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</si>
  <si>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</si>
  <si>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</si>
  <si>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</si>
  <si>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</si>
  <si>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</si>
  <si>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</si>
  <si>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</si>
  <si>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</si>
  <si>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</si>
  <si>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</si>
  <si>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</si>
  <si>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</si>
  <si>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</si>
  <si>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</si>
  <si>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</si>
  <si>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</si>
  <si>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</si>
  <si>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</si>
  <si>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</si>
  <si>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</si>
  <si>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</si>
  <si>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</si>
  <si>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</si>
  <si>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I</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</si>
  <si>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</si>
  <si>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</si>
  <si>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</si>
  <si>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</si>
  <si>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</si>
  <si>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</si>
  <si>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</si>
  <si>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</si>
  <si>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Veedurías y Rendición de Cuentas</t>
  </si>
  <si>
    <t xml:space="preserve">Realizar  doce (12) procesos de Rendición Publica de Cuentas Departamentales en entes territoriales municipales. </t>
  </si>
  <si>
    <t>201663000-0015</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</si>
  <si>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</si>
  <si>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</si>
  <si>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</si>
  <si>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</si>
  <si>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</si>
  <si>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</si>
  <si>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</si>
  <si>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</si>
  <si>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</si>
  <si>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</si>
  <si>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</si>
  <si>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</si>
  <si>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</si>
  <si>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</si>
  <si>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</si>
  <si>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Diseñar e implementar el tablero de control  para el seguimiento y evaluación del Plan de Desarrollo  y   políticas públicas  Departamentales</t>
  </si>
  <si>
    <t>201663000-0011</t>
  </si>
  <si>
    <t xml:space="preserve">Diseñar e implementar la  Fábrica de Proyectos de Inversión en el Departamento del Quindío </t>
  </si>
  <si>
    <t>13. Promoción del Desarrollo</t>
  </si>
  <si>
    <t>201663000-0012</t>
  </si>
  <si>
    <t xml:space="preserve">Actualizar el Sistema Integrado de Gestión Administrativa SIGA del departamento del Quindío </t>
  </si>
  <si>
    <t>201663000-0013</t>
  </si>
  <si>
    <t>201663000-0014</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</si>
  <si>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</si>
  <si>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</si>
  <si>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</si>
  <si>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</si>
  <si>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</si>
  <si>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</si>
  <si>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</si>
  <si>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</si>
  <si>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</si>
  <si>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</si>
  <si>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</si>
  <si>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</si>
  <si>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</si>
  <si>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</si>
  <si>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</si>
  <si>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</si>
  <si>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</si>
  <si>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</si>
  <si>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</si>
  <si>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</si>
  <si>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</si>
  <si>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</si>
  <si>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</si>
  <si>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</si>
  <si>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</si>
  <si>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</si>
  <si>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</si>
  <si>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</si>
  <si>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</si>
  <si>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</si>
  <si>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</si>
  <si>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</si>
  <si>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</si>
  <si>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</si>
  <si>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</si>
  <si>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</si>
  <si>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</si>
  <si>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</si>
  <si>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</si>
  <si>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</si>
  <si>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</si>
  <si>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</si>
  <si>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</si>
  <si>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</si>
  <si>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</si>
  <si>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DESARROLLO SOSTENIBLE</t>
  </si>
  <si>
    <t>Quindío territorio vital</t>
  </si>
  <si>
    <t>Manejo integral del agua y saneamiento básico</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</si>
  <si>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</si>
  <si>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</si>
  <si>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</si>
  <si>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</si>
  <si>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</si>
  <si>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</si>
  <si>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</si>
  <si>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</si>
  <si>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 xml:space="preserve">Dsiminuir la presión por cargas contaminantes medida por el indice de alteración potencial de la calidad del agua (IACAL), a categoria moderada </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</si>
  <si>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</si>
  <si>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</si>
  <si>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</si>
  <si>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</si>
  <si>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</si>
  <si>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</si>
  <si>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</si>
  <si>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</si>
  <si>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</si>
  <si>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</si>
  <si>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</si>
  <si>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SEGURIDAD HUMANA</t>
  </si>
  <si>
    <t>Implementar un programa para disminuir la accidentalidad en las vías del departamento</t>
  </si>
  <si>
    <t>309 Secretaría del Interior</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</si>
  <si>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</si>
  <si>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</si>
  <si>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</si>
  <si>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</si>
  <si>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</si>
  <si>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</si>
  <si>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</si>
  <si>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</si>
  <si>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</si>
  <si>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</si>
  <si>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</si>
  <si>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</si>
  <si>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</si>
  <si>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</si>
  <si>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</si>
  <si>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</si>
  <si>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</si>
  <si>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</si>
  <si>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</si>
  <si>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</si>
  <si>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</si>
  <si>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</si>
  <si>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</si>
  <si>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</si>
  <si>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</si>
  <si>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</si>
  <si>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</si>
  <si>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</si>
  <si>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</si>
  <si>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</si>
  <si>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</si>
  <si>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</si>
  <si>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</si>
  <si>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</si>
  <si>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</si>
  <si>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</si>
  <si>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</si>
  <si>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</si>
  <si>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</si>
  <si>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</si>
  <si>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</si>
  <si>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</si>
  <si>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</si>
  <si>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</si>
  <si>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</si>
  <si>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</si>
  <si>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</si>
  <si>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</si>
  <si>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</si>
  <si>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</si>
  <si>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</si>
  <si>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</si>
  <si>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</si>
  <si>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</si>
  <si>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</si>
  <si>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</si>
  <si>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</si>
  <si>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</si>
  <si>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</si>
  <si>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</si>
  <si>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</si>
  <si>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</si>
  <si>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</si>
  <si>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</si>
  <si>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</si>
  <si>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</si>
  <si>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</si>
  <si>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</si>
  <si>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</si>
  <si>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</si>
  <si>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</si>
  <si>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</si>
  <si>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310 Secretaría de Cultura</t>
  </si>
  <si>
    <t>INCLUSION SOCIAL</t>
  </si>
  <si>
    <t>Cultura, Arte y educación para la Paz</t>
  </si>
  <si>
    <t>Arte para todos</t>
  </si>
  <si>
    <t>19            21                  31                          32</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</si>
  <si>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</si>
  <si>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</si>
  <si>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</si>
  <si>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</si>
  <si>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</si>
  <si>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8,06% EBS 5,77% EM       
 174,7*100.000
30.7%
24,9%
6 de cada 10</t>
  </si>
  <si>
    <t>8,06% EBS 5,77% EM    
 174,7*100.000
30.7%
24,9%
6 de cada 10</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</si>
  <si>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</si>
  <si>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</si>
  <si>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</si>
  <si>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</si>
  <si>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</si>
  <si>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</si>
  <si>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</si>
  <si>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</si>
  <si>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</si>
  <si>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</si>
  <si>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</si>
  <si>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</si>
  <si>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</si>
  <si>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</si>
  <si>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</si>
  <si>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</si>
  <si>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</si>
  <si>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</si>
  <si>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</si>
  <si>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</si>
  <si>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</si>
  <si>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</si>
  <si>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</si>
  <si>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</si>
  <si>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</si>
  <si>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</si>
  <si>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</si>
  <si>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</si>
  <si>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</si>
  <si>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</si>
  <si>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</si>
  <si>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</si>
  <si>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</si>
  <si>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</si>
  <si>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</si>
  <si>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</si>
  <si>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</si>
  <si>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</si>
  <si>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</si>
  <si>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</si>
  <si>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</si>
  <si>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</si>
  <si>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</si>
  <si>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</si>
  <si>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</si>
  <si>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</si>
  <si>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</si>
  <si>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</si>
  <si>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</si>
  <si>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</si>
  <si>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</si>
  <si>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</si>
  <si>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</si>
  <si>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</si>
  <si>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</si>
  <si>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</si>
  <si>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</si>
  <si>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</si>
  <si>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</si>
  <si>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</si>
  <si>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</si>
  <si>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</si>
  <si>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</si>
  <si>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</si>
  <si>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</si>
  <si>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</si>
  <si>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</si>
  <si>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</si>
  <si>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</si>
  <si>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</si>
  <si>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</si>
  <si>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</si>
  <si>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</si>
  <si>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</si>
  <si>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</si>
  <si>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</si>
  <si>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</si>
  <si>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</si>
  <si>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</si>
  <si>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</si>
  <si>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</si>
  <si>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</si>
  <si>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Promoción nacional e internacional del departamento como destino turístico</t>
  </si>
  <si>
    <t>Construcción del Plan de Mercadeo Turístico</t>
  </si>
  <si>
    <t>201663000-0062</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</si>
  <si>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</si>
  <si>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</si>
  <si>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</si>
  <si>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</si>
  <si>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</si>
  <si>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</si>
  <si>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</si>
  <si>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</si>
  <si>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</si>
  <si>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</si>
  <si>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</si>
  <si>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</si>
  <si>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</si>
  <si>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</si>
  <si>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</si>
  <si>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</si>
  <si>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</si>
  <si>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</si>
  <si>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</si>
  <si>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</si>
  <si>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</si>
  <si>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</si>
  <si>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2
4</t>
  </si>
  <si>
    <t>43,29 m3/s
2.730 Hectareas</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</si>
  <si>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</si>
  <si>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</si>
  <si>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</si>
  <si>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</si>
  <si>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</si>
  <si>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</si>
  <si>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</si>
  <si>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</si>
  <si>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</si>
  <si>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</si>
  <si>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</si>
  <si>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</si>
  <si>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</si>
  <si>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</si>
  <si>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</si>
  <si>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</si>
  <si>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</si>
  <si>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8.9
4.6
27</t>
  </si>
  <si>
    <t>Capacitar a cuatrocientos (400) caficultores del departamento en producción limpia y sostenible con producción de café con taza limpia, catación, tostión y barismo</t>
  </si>
  <si>
    <t>201663000-0072</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</si>
  <si>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</si>
  <si>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</si>
  <si>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</si>
  <si>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</si>
  <si>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</si>
  <si>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</si>
  <si>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</si>
  <si>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</si>
  <si>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</si>
  <si>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</si>
  <si>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</si>
  <si>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</si>
  <si>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</si>
  <si>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</si>
  <si>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</si>
  <si>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</si>
  <si>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</si>
  <si>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</si>
  <si>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</si>
  <si>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</si>
  <si>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</si>
  <si>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</si>
  <si>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</si>
  <si>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</si>
  <si>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</si>
  <si>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</si>
  <si>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</si>
  <si>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</si>
  <si>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</si>
  <si>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</si>
  <si>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</si>
  <si>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</si>
  <si>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</si>
  <si>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</si>
  <si>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</si>
  <si>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</si>
  <si>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</si>
  <si>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</si>
  <si>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</si>
  <si>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</si>
  <si>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</si>
  <si>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</si>
  <si>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</si>
  <si>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</si>
  <si>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</si>
  <si>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</si>
  <si>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</si>
  <si>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</si>
  <si>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</si>
  <si>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</si>
  <si>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</si>
  <si>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</si>
  <si>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</si>
  <si>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</si>
  <si>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</si>
  <si>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</si>
  <si>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</si>
  <si>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</si>
  <si>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</si>
  <si>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</si>
  <si>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</si>
  <si>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Disminuir la proporción de niños que desertan en educación básica secundaria y media </t>
  </si>
  <si>
    <t xml:space="preserve">8.06  EBS
5.77 EM </t>
  </si>
  <si>
    <t>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</si>
  <si>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</si>
  <si>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</si>
  <si>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</si>
  <si>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</si>
  <si>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</si>
  <si>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</si>
  <si>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Diseñar e implementar una estrategia que permita disminuir la tasa de analfabetismo en los municipios del Departamento del Quindío</t>
  </si>
  <si>
    <t xml:space="preserve">8.06 EBS
5.77 EM </t>
  </si>
  <si>
    <t>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</si>
  <si>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</si>
  <si>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</si>
  <si>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</si>
  <si>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</si>
  <si>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</si>
  <si>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</si>
  <si>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</si>
  <si>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</si>
  <si>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</si>
  <si>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</si>
  <si>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</si>
  <si>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</si>
  <si>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</si>
  <si>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</si>
  <si>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</si>
  <si>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</si>
  <si>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</si>
  <si>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</si>
  <si>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</si>
  <si>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</si>
  <si>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</si>
  <si>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</si>
  <si>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</si>
  <si>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</si>
  <si>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</si>
  <si>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</si>
  <si>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</si>
  <si>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</si>
  <si>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</si>
  <si>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</si>
  <si>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</si>
  <si>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</si>
  <si>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</si>
  <si>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8.06   EBS
5.77 EM </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</si>
  <si>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</si>
  <si>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</si>
  <si>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</si>
  <si>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</si>
  <si>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</si>
  <si>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</si>
  <si>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</si>
  <si>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</si>
  <si>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 xml:space="preserve">Dotar ciento cuarenta (140) sedes educativas con la colección semilla </t>
  </si>
  <si>
    <t>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</si>
  <si>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</si>
  <si>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</si>
  <si>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</si>
  <si>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3
78
5 EBS
 4 EM </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</si>
  <si>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</si>
  <si>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</si>
  <si>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</si>
  <si>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</si>
  <si>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</si>
  <si>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</si>
  <si>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</si>
  <si>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</si>
  <si>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</si>
  <si>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</si>
  <si>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</si>
  <si>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</si>
  <si>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</si>
  <si>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</si>
  <si>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</si>
  <si>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</si>
  <si>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</si>
  <si>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</si>
  <si>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</si>
  <si>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</si>
  <si>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</si>
  <si>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</si>
  <si>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</si>
  <si>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</si>
  <si>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</si>
  <si>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</si>
  <si>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</si>
  <si>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</si>
  <si>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</si>
  <si>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14
15
19 </t>
  </si>
  <si>
    <t>6.20
73.23
8.06 EBS
5.77 EM         </t>
  </si>
  <si>
    <t>3
78
5 EBS
4 EM </t>
  </si>
  <si>
    <t>Fortalecer, hacer seguimiento y auditar cuatro (4)  procesos certificados con que cuenta la Secretaria de Educación Departamental</t>
  </si>
  <si>
    <t>201663000-0096</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</si>
  <si>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</si>
  <si>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</si>
  <si>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</si>
  <si>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</si>
  <si>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</si>
  <si>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</si>
  <si>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</si>
  <si>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</si>
  <si>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Funcionamiento y prestación de servicios del sector educativo del nivel central 1400-1401</t>
  </si>
  <si>
    <t>6.20
73.23
8.06 EBS
5.77 EM</t>
  </si>
  <si>
    <t>Realizar el pago oportuno al 100% de los funcionarios de la planta de  administrativos, docentes y directivos docentes del sector central</t>
  </si>
  <si>
    <t>201663000-0098</t>
  </si>
  <si>
    <t>Eficiencia administrativa y docente en la  gestión del bienestar laboral</t>
  </si>
  <si>
    <t>Realizar el reconocimiento a sesenta (60) docentes, directivos docentes y/o personal administrativo</t>
  </si>
  <si>
    <t>201663000-0100</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</si>
  <si>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</si>
  <si>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</si>
  <si>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</si>
  <si>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</si>
  <si>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</si>
  <si>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2.1/100
13/100.000
8.8/1000
11.34/1000
0</t>
  </si>
  <si>
    <t> 2.1/100
10/100.000
8.8/1000
11.34/1000
0</t>
  </si>
  <si>
    <t>Implementar  un (1)  programa de educación integral  a la primera infancia</t>
  </si>
  <si>
    <t>201663000-0101</t>
  </si>
  <si>
    <t>316 Secretaría de Familia</t>
  </si>
  <si>
    <t>Niños y Niñas en entornos Protectores-semillas infantiles-</t>
  </si>
  <si>
    <t>24                                                 25                                                 29                                    30                                         33</t>
  </si>
  <si>
    <t xml:space="preserve">2.1/100                    13/100.000                                    8.8/1000                 11.34/1000                 0                      </t>
  </si>
  <si>
    <t xml:space="preserve"> 2.1/100                                         10/100.000                           8.8/1000                               11.34/1000                                 0</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</si>
  <si>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</si>
  <si>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</si>
  <si>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</si>
  <si>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</si>
  <si>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</si>
  <si>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</si>
  <si>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</si>
  <si>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</si>
  <si>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</si>
  <si>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</si>
  <si>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</si>
  <si>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</si>
  <si>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</si>
  <si>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</si>
  <si>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</si>
  <si>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</si>
  <si>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</si>
  <si>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</si>
  <si>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</si>
  <si>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</si>
  <si>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</si>
  <si>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</si>
  <si>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</si>
  <si>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</si>
  <si>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</si>
  <si>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</si>
  <si>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</si>
  <si>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 xml:space="preserve"> Disminuir la incidencia de embarazo en adolescentes</t>
  </si>
  <si>
    <t>Implementar  dos (2) estrategias de prevención para adolescentes y jóvenes en riesgo social y/o vinculados a la Ley de responsabilidad  penal</t>
  </si>
  <si>
    <r>
      <t xml:space="preserve"> </t>
    </r>
    <r>
      <rPr>
        <sz val="12"/>
        <color indexed="8"/>
        <rFont val="Arial"/>
        <family val="2"/>
      </rPr>
      <t xml:space="preserve"> 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</si>
  <si>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</si>
  <si>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</si>
  <si>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</si>
  <si>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</si>
  <si>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</si>
  <si>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</si>
  <si>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</si>
  <si>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</si>
  <si>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</si>
  <si>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</si>
  <si>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</si>
  <si>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Diseño e implementación  de una estrategia para la atención de la  población  en vulnerabiliadad extrema  en el Departamento del Quindio  </t>
  </si>
  <si>
    <t>implementar  un  programa  departamental para la atención y acompañamiento a la población migrante  y de repatriación .</t>
  </si>
  <si>
    <t>201663000-0118</t>
  </si>
  <si>
    <t xml:space="preserve">Pervivencia de los pueblos indígenas en el marco de la Paz </t>
  </si>
  <si>
    <t>Apoyar el plan de vida para el resguardo indígena Dachi Agore Drua del municipio de Calarcá</t>
  </si>
  <si>
    <t>201663000-0121</t>
  </si>
  <si>
    <t>Apoyar   y fortalecer  la elaboración y puesta en marcha  de  planes de vida de los pueblos indígenas asentados en el Departamento del Quindío.</t>
  </si>
  <si>
    <t>201663000-0122</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</si>
  <si>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</si>
  <si>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</si>
  <si>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</si>
  <si>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</si>
  <si>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Sí a la diversidad sexual e identidad de género y su familia.</t>
  </si>
  <si>
    <t>21   22</t>
  </si>
  <si>
    <r>
      <t xml:space="preserve"> </t>
    </r>
    <r>
      <rPr>
        <sz val="12"/>
        <color indexed="8"/>
        <rFont val="Arial"/>
        <family val="2"/>
      </rPr>
      <t xml:space="preserve"> 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</si>
  <si>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</si>
  <si>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</si>
  <si>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</si>
  <si>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</si>
  <si>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Mujeres constructoras de Familia y de paz.</t>
  </si>
  <si>
    <r>
      <t xml:space="preserve"> </t>
    </r>
    <r>
      <rPr>
        <sz val="12"/>
        <color indexed="8"/>
        <rFont val="Arial"/>
        <family val="2"/>
      </rPr>
      <t xml:space="preserve"> 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</si>
  <si>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</si>
  <si>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</si>
  <si>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</si>
  <si>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</si>
  <si>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</si>
  <si>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</si>
  <si>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</si>
  <si>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</si>
  <si>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</si>
  <si>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</si>
  <si>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</si>
  <si>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</si>
  <si>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</si>
  <si>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</si>
  <si>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</si>
  <si>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</si>
  <si>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</si>
  <si>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</si>
  <si>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</si>
  <si>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</si>
  <si>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</si>
  <si>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</si>
  <si>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</si>
  <si>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</si>
  <si>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</si>
  <si>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</si>
  <si>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</si>
  <si>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</si>
  <si>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</si>
  <si>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</si>
  <si>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</si>
  <si>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</si>
  <si>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</si>
  <si>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</si>
  <si>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</si>
  <si>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</si>
  <si>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</si>
  <si>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</si>
  <si>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</si>
  <si>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r>
      <rPr>
        <sz val="12"/>
        <color indexed="8"/>
        <rFont val="Arial"/>
        <family val="2"/>
      </rPr>
      <t xml:space="preserve"> 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</si>
  <si>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</si>
  <si>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</si>
  <si>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</si>
  <si>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</si>
  <si>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</si>
  <si>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</si>
  <si>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</si>
  <si>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</si>
  <si>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</si>
  <si>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</si>
  <si>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</si>
  <si>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</si>
  <si>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</si>
  <si>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</si>
  <si>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</si>
  <si>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</si>
  <si>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</si>
  <si>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</si>
  <si>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</si>
  <si>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</si>
  <si>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</si>
  <si>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</si>
  <si>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</si>
  <si>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</si>
  <si>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</si>
  <si>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</si>
  <si>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</si>
  <si>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</si>
  <si>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</si>
  <si>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</si>
  <si>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</si>
  <si>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</si>
  <si>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</si>
  <si>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</si>
  <si>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</si>
  <si>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</si>
  <si>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</si>
  <si>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</si>
  <si>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Salud publica en emergencias y desastres</t>
  </si>
  <si>
    <r>
      <rPr>
        <sz val="12"/>
        <color indexed="8"/>
        <rFont val="Arial"/>
        <family val="2"/>
      </rPr>
      <t xml:space="preserve"> Incrementar el % IPS con seguimiento por parte del departamento</t>
    </r>
  </si>
  <si>
    <t>Realizar catorce (14) simulacros de atención a emergencias en la Red Pública Hospitalaria</t>
  </si>
  <si>
    <t>201663000-0143</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</si>
  <si>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</si>
  <si>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</si>
  <si>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</si>
  <si>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</si>
  <si>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</si>
  <si>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</si>
  <si>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</si>
  <si>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</si>
  <si>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</si>
  <si>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</si>
  <si>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</si>
  <si>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</si>
  <si>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</si>
  <si>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</si>
  <si>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</si>
  <si>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</si>
  <si>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</si>
  <si>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</si>
  <si>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</si>
  <si>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r>
      <rPr>
        <sz val="12"/>
        <color indexed="8"/>
        <rFont val="Arial"/>
        <family val="2"/>
      </rPr>
      <t xml:space="preserve"> 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</si>
  <si>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</si>
  <si>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</si>
  <si>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</si>
  <si>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</si>
  <si>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</si>
  <si>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</si>
  <si>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2"/>
        <color indexed="8"/>
        <rFont val="Arial"/>
        <family val="2"/>
      </rPr>
      <t>  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</si>
  <si>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</si>
  <si>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</si>
  <si>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</si>
  <si>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</si>
  <si>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</si>
  <si>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</si>
  <si>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</si>
  <si>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</si>
  <si>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</si>
  <si>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</si>
  <si>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</si>
  <si>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</si>
  <si>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</si>
  <si>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</si>
  <si>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</si>
  <si>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</si>
  <si>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</si>
  <si>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</si>
  <si>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</si>
  <si>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</si>
  <si>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</si>
  <si>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</si>
  <si>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</si>
  <si>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</si>
  <si>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</si>
  <si>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</si>
  <si>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</si>
  <si>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</si>
  <si>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</si>
  <si>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</si>
  <si>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</si>
  <si>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</si>
  <si>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</si>
  <si>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</si>
  <si>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</si>
  <si>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</si>
  <si>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</si>
  <si>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</si>
  <si>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</si>
  <si>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</si>
  <si>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</si>
  <si>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</si>
  <si>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</si>
  <si>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</si>
  <si>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</si>
  <si>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</si>
  <si>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</si>
  <si>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</si>
  <si>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</si>
  <si>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</si>
  <si>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</si>
  <si>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</si>
  <si>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</si>
  <si>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</si>
  <si>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</si>
  <si>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</si>
  <si>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</si>
  <si>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</si>
  <si>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</si>
  <si>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</si>
  <si>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</si>
  <si>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</si>
  <si>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</si>
  <si>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</si>
  <si>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</si>
  <si>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</si>
  <si>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</si>
  <si>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</si>
  <si>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</si>
  <si>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</si>
  <si>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</si>
  <si>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</si>
  <si>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</si>
  <si>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</si>
  <si>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</si>
  <si>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</si>
  <si>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</si>
  <si>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</si>
  <si>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</si>
  <si>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</si>
  <si>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</si>
  <si>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</si>
  <si>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</si>
  <si>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</si>
  <si>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</si>
  <si>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</si>
  <si>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</si>
  <si>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</si>
  <si>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</si>
  <si>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</si>
  <si>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</si>
  <si>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</si>
  <si>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</si>
  <si>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</si>
  <si>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</si>
  <si>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</si>
  <si>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</si>
  <si>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</si>
  <si>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</si>
  <si>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</si>
  <si>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</si>
  <si>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</si>
  <si>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</si>
  <si>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</si>
  <si>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</si>
  <si>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</si>
  <si>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</si>
  <si>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</si>
  <si>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</si>
  <si>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</si>
  <si>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</si>
  <si>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</si>
  <si>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</si>
  <si>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</si>
  <si>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</si>
  <si>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</si>
  <si>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</si>
  <si>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</si>
  <si>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</si>
  <si>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</si>
  <si>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</si>
  <si>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</si>
  <si>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</si>
  <si>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 xml:space="preserve">  </t>
  </si>
  <si>
    <t>Implementación de un programa  de  modernización de la gestión administrativa en el Departamento del Quindio</t>
  </si>
  <si>
    <t>0,98</t>
  </si>
  <si>
    <t>Realización procesos de capacitación,  asistencia técnica, seguimiento  y evaluación en la aplicabilidad de los componentes   del Índice de Transparencia en el Departamento del Quindio</t>
  </si>
  <si>
    <t>Realización procesos de Rendición Publica de Cuentas Departamentales enlos  entes territoriales municipales del Departamento del Quindio </t>
  </si>
  <si>
    <t> Diseño e implementación instrumentos de  planificación para el  ordenamiento  territorial, social y económico del  Departamento del Quindio </t>
  </si>
  <si>
    <t>Diseño    e implementación del Observatorio  de Desarrollo Humano en el Departamento del Quindio </t>
  </si>
  <si>
    <t>Diseño  e implementación del Tablero de Control  para el seguimiento y evalución del Plan de Desarrollo y las Políticas Públicas del  Departamento del Quindio</t>
  </si>
  <si>
    <t> Implementación Sistema de Cooperación Internacional y  de Gestión de proyectos  del Depratamento del Quindío - " Fabrica de Proyectos</t>
  </si>
  <si>
    <t>Actualizar y/o  ajustar el Sistema Integrado de Gestión Administrativa SIGA del Departamento del Quindío </t>
  </si>
  <si>
    <t>Implementar el Comité  de Planificación  Departamental   </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</si>
  <si>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</si>
  <si>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</si>
  <si>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Mejoramiento de la sostenibilidad de los procesos de fiscalización liquidación control y cobranza de los tributos en el Departamento del Quindío</t>
  </si>
  <si>
    <t>Implementación de un programa de gestión fianciera para la optimización de los procesos en el area de tesorería, presupuesto y contabilidad en el Departamento del Quindio </t>
  </si>
  <si>
    <t>Actualización e implementación del  Plan Ambiental para el sector de agua potable y saneamiento básico en el Departamento del Quindio</t>
  </si>
  <si>
    <t>Construcción integral de la seguridad humana en el Departamento de Quindio.  </t>
  </si>
  <si>
    <t>Apoyo a la convivencia, justicia y cultura de paz en el Departamento del  Quindio.</t>
  </si>
  <si>
    <t>Implementación del Plan Integral de prevención de vulneraciones de los Derechos Humanos DDHH e infracciones  al Derecho Internacional Humanitario DIH en el departamento del Quindio</t>
  </si>
  <si>
    <t>Administración del  riesgo mediante el conocimiento, la reducción y el manejo del desastre  en el Departamento del Quindio. </t>
  </si>
  <si>
    <t>Apoyo institucional en la gestión del riesgo  en el Departamento del Quindio</t>
  </si>
  <si>
    <t>Fortalecimiento de las veedurias ciudadanas en el Departamento del Quindio </t>
  </si>
  <si>
    <t>Desarrollo de los Organismos Comunales en el Departamento del Quindio </t>
  </si>
  <si>
    <t>Apoyo a seguridad social del creador y gestor cultural del Departamento del Quindio </t>
  </si>
  <si>
    <t>Fortalecimiento y promoción del  emprendimiento cultural y las industrias creativas en el Departamento </t>
  </si>
  <si>
    <t> Fortalecimiento al  Plan Departamental  de lectura, escritura y bibliotecas en el Departamento del Quindio .</t>
  </si>
  <si>
    <t>Apoyo al mejoramiento de la competitividad a iniciativas  productivas en el  Departamento del Quindío</t>
  </si>
  <si>
    <t> Fortalecimiento de  la   competitividad  a través de la  gestión de la innovación  y la tecnocología en el Departamento del Quindio</t>
  </si>
  <si>
    <t> Apoyo al emprendimiento, empresarismo, asociatividad y generación de empleo en el departamento del Quindío.</t>
  </si>
  <si>
    <t>Fortalecimiento del sector empresarial  hacia mercados globales en el Departamento del Quindio .   </t>
  </si>
  <si>
    <t>Apoyo a la competitividad  como destino turístico en el Departamento del Quindío.</t>
  </si>
  <si>
    <t>Apoyo a la promoción nacional e internacional como destino  turísmo del Departamento del Quindío.</t>
  </si>
  <si>
    <t>Fortalecimiento  y potencialización de los servicios ecosistemicos en el Departamento del Quindío</t>
  </si>
  <si>
    <t>Fortalecimiento e innovación empresarial  de la caficultura en el Departamento del Quindio</t>
  </si>
  <si>
    <t>Creacion e implementacion de los centros agroindustriales para  la paz CAPAZ en el Deparamento del Quindio</t>
  </si>
  <si>
    <t>Fomento al emprendimiento y  al empleo rural en el Departamento del Quindío  </t>
  </si>
  <si>
    <t>Fomento a la agricultura familiar , urbana y  mercados campesinos para la soberanía y  Seguridad alimentaria en el Departamento del Quindio.</t>
  </si>
  <si>
    <t>Desarrollar y fortalecer la cultura de la transparencia, participación, buen gobierno  y valores éticos y morales en el Departamento del Quindio</t>
  </si>
  <si>
    <t>Implementación de  la estrategia de comunicaciones para  la divulgación de  los programas, proyectos,  actividades y servicios del Departamento del Quindío </t>
  </si>
  <si>
    <t> Fortalecimiento de las estrategias para el acceso,  permanencia y seguridad  de los niños, niñas y jóvenes en el  sistema  educativo del Departamento del Quindio. </t>
  </si>
  <si>
    <t>Implementación de estrategias de inclusión para garantizar la atención educativa a población vulnerable en el  Departamento del  Quindío.</t>
  </si>
  <si>
    <t xml:space="preserve">
Implementación de  estrategias para el mejoramiento continuo del indice sintetico de calidad educativa en los niveles de básica primaria, básica secundaria y nivel de media en el Departamento del Quindio 
</t>
  </si>
  <si>
    <t>Mejoramiento de ambientes escolares y  fortalecimiento de modelos educativos articuladores de la ciencia, los lenguajes, las artes y el deporte en el Departamento del Quindio</t>
  </si>
  <si>
    <t>Implementación de  estrategias educativas en  lectura y escritura en las instituciones educativas en el Departamento del Quindío.</t>
  </si>
  <si>
    <t>Fortalecimiento de los niveles de educación  básica y media para la articulación con la educación terciaria en el Departamento del Quindio </t>
  </si>
  <si>
    <t>Fortalecimiento de los niveles de eficiencia administrativa en la Secretaría de Educación Departamental del Quindío </t>
  </si>
  <si>
    <t>Fortalecimiento de las herramientas tecnológicas en las Instituciones Educativas del Departamento del Quindío </t>
  </si>
  <si>
    <t>Funcionamiento y Prestación de Servicios del Sector Educativo del nivel Central  en el Departamento del Quindio</t>
  </si>
  <si>
    <t>Mejoramiento  de la gestión admnistrativa y docente para la eficiencia del bienestar laboral   del Departamento del Quindio</t>
  </si>
  <si>
    <t>Implementación del modelo de atención integral de la educación inicial en el Departamento del  Quindio. </t>
  </si>
  <si>
    <t>Formulación e implementación de  la politica pública  de la familia en el departamento del Quindio</t>
  </si>
  <si>
    <t>Implementación de la  política de primera infancia, infancia y adolescencia en el Departamento del Quindio</t>
  </si>
  <si>
    <t>Desarrollo de acciones encaminadas a la atención integral  de los adolescentes y jóvenes del Departamento del Quindio</t>
  </si>
  <si>
    <t>Actualización e implementación  de   la política pública departamental de discapacidad  "Capacidad sin limites" en el Quindio.</t>
  </si>
  <si>
    <t>Implementación del programa  para la atención y acompañamiento  del ciudadano migrante  y de repatración en el Departamento del Quindio.</t>
  </si>
  <si>
    <t>Fortalecimiento resguardo  indígena DACHI AGORE DRUA del municipio de Calarcá del Departamento del Quindío.</t>
  </si>
  <si>
    <t>Apoyo  a la elaboración y puesta marcha de Planes de Vida  de los cabildos indigenas en el departamento del Quindio  </t>
  </si>
  <si>
    <t>Implementación de un  programa de atención integral a la población  afrodescendiente en el Departamento del Quindio </t>
  </si>
  <si>
    <t>Fomulación e implementación de la politca pública  de diversidad sexual en el Departamento del Quindio</t>
  </si>
  <si>
    <t>Apoyo y bienestar integral a las personas mayores del Departamento del Quindio </t>
  </si>
  <si>
    <t>Aprovechamiento biológico y consumo de  alimentos idóneos  en el Departamento del Quindio</t>
  </si>
  <si>
    <t>Fortalecimiento de acciones de intervención inherentes a los derechos sexuales y reproductivos  en el Departamento del Quindio.</t>
  </si>
  <si>
    <t>Control y vigilancia en las acciones de condiciones no transmisibles y promoción de estilos de vida saludable en el Quindio  </t>
  </si>
  <si>
    <t>Fortalecimiento de estrategia de gestión integral, vectores, cambio climático y zoonosis en el Departamento  del Quindio </t>
  </si>
  <si>
    <t>Fortalecimiento de la inclusión social para la disminución de riesgos de contraer enfermedades transmisibles  en el Departamento del Quindio </t>
  </si>
  <si>
    <t>Prevención en emergencias y desastres de eventos relacionados con la salud pública en el Departamento del  Quindio</t>
  </si>
  <si>
    <t> Prevención vigilancia y control de eventos de origen laboral en el Departamento del Quindío.</t>
  </si>
  <si>
    <t>Fortalecimiento de la autoridad sanitaria en el Departamento del Quindio </t>
  </si>
  <si>
    <t>Implementación de programas de promoción social en poblaciones  especiales en el Departamento del Quindío.</t>
  </si>
  <si>
    <t>Asistencia atención a las personas y prioridades en salud pública en el  Departamento del Quindío- Plan de Intervenciones Colectivas PIC. </t>
  </si>
  <si>
    <t>Fortalecimiento de las actividades de vigilancia y control del laboratorio de salud pública en el Departamento del Quindio </t>
  </si>
  <si>
    <t>Prestación de Servicios a la Población no Afiliada al Sistema General de Seguridad Social en Salud  y en los no POS  a la Población Afiliada al Régimen Subsidiado.</t>
  </si>
  <si>
    <t>Asistencia técnica para el fortalecimiento de la gestión de las entidades territoriales del Departamento del Quindio </t>
  </si>
  <si>
    <t>Fortalecimiento de la red de urgencias y emergencias en el Departamento del Quindio </t>
  </si>
  <si>
    <t>Fortalecimiento de la red de prestación de servicios pública  del Departamento del Quindío</t>
  </si>
  <si>
    <t>apoyar y gestionar  3 procesos administrativos y misionales por parte de la Dirección estratégica.</t>
  </si>
  <si>
    <t>IV TRIMESTRE 2018</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</si>
  <si>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</si>
  <si>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</si>
  <si>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</si>
  <si>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</si>
  <si>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PLAN OPERATIVO ANUAL DE INVERSIONES</t>
  </si>
  <si>
    <t>F-PLA-42</t>
  </si>
  <si>
    <t>  ESTAMPILLA
PRO - CULTURA </t>
  </si>
  <si>
    <t>ESTAMPILLA 
PRO - ADULTO MAYOR</t>
  </si>
  <si>
    <t>ESTAMPILLA 
PRO - DESARROLLO</t>
  </si>
  <si>
    <t>  CONTRIBUCION ESPECIAL 
(FONDO DE SEGURIDAD 5%)</t>
  </si>
  <si>
    <t> SOBRETASA AL ACPM</t>
  </si>
  <si>
    <t xml:space="preserve"> MONOPOLIO EDUCACIÓN  51% 
DESTINACION ESPECIFICA </t>
  </si>
  <si>
    <t>SGP SALÚD PUBLICA</t>
  </si>
  <si>
    <t>  SGP PRESTACION DE SERVCIOS</t>
  </si>
  <si>
    <t xml:space="preserve">FONDO LOCAL DE SALUD  - RENTAS CEDIDAS </t>
  </si>
  <si>
    <t>   SGP PRESTACIÓN DE SERVICIOS - EDUCACIÓN  - CONECTIVIDAD</t>
  </si>
  <si>
    <t>  FONDO LOCAL DE SALUD  
ESTUPEFACIENTES 
LEY 1393  
LOTERIAS-RIFAS-PREMIOS </t>
  </si>
  <si>
    <t> FONDO DE EDUCACION,  PAE, CONVENIO MEN</t>
  </si>
  <si>
    <t>     OTROS (IVA TELEFONIA MÓVIL  - REGISTRO- MATERIAL RIO)
   </t>
  </si>
  <si>
    <t>RECURSOS DEL CREDITO</t>
  </si>
  <si>
    <t xml:space="preserve">NACIÓN  - COFINANCIACIÓN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</si>
</sst>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1" formatCode="_(* #,##0.00_);_(* \(#,##0.00\);_(* &quot;-&quot;??_);_(@_)"/>
    <numFmt numFmtId="172" formatCode="00"/>
    <numFmt numFmtId="173" formatCode="_(* #,##0_);_(* \(#,##0\);_(* &quot;-&quot;??_);_(@_)"/>
    <numFmt numFmtId="174" formatCode="_-* #,##0_-;\-* #,##0_-;_-* &quot;-&quot;??_-;_-@_-"/>
    <numFmt numFmtId="175" formatCode="_(* #,##0.0000_);_(* \(#,##0.0000\);_(* &quot;-&quot;??_);_(@_)"/>
  </numFmts>
  <fonts count="11" x14ac:knownFonts="1">
    <font>
      <sz val="11"/>
      <color theme="1"/>
      <name val="Calibri"/>
      <family val="2"/>
      <scheme val="minor"/>
    </font>
    <font>
      <b/>
      <sz val="12"/>
      <name val="Arial"/>
      <family val="2"/>
    </font>
    <font>
      <sz val="11"/>
      <color indexed="8"/>
      <name val="Calibri"/>
      <family val="2"/>
    </font>
    <font>
      <sz val="12"/>
      <name val="Arial"/>
      <family val="2"/>
    </font>
    <font>
      <sz val="12"/>
      <color indexed="8"/>
      <name val="Arial"/>
      <family val="2"/>
    </font>
    <font>
      <sz val="12"/>
      <color indexed="8"/>
      <name val="Arial"/>
      <family val="2"/>
    </font>
    <font>
      <sz val="11"/>
      <color theme="1"/>
      <name val="Calibri"/>
      <family val="2"/>
      <scheme val="minor"/>
    </font>
    <font>
      <sz val="12"/>
      <color theme="1"/>
      <name val="Arial"/>
      <family val="2"/>
    </font>
    <font>
      <sz val="12"/>
      <color rgb="FFFF0000"/>
      <name val="Arial"/>
      <family val="2"/>
    </font>
    <font>
      <sz val="12"/>
      <color rgb="FF000000"/>
      <name val="Arial"/>
      <family val="2"/>
    </font>
    <font>
      <b/>
      <sz val="12"/>
      <color theme="1"/>
      <name val="Arial"/>
      <family val="2"/>
    </font>
  </fonts>
  <fills count="14">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29"/>
        <bgColor indexed="64"/>
      </patternFill>
    </fill>
    <fill>
      <patternFill patternType="solid">
        <fgColor indexed="9"/>
        <bgColor indexed="64"/>
      </patternFill>
    </fill>
    <fill>
      <patternFill patternType="solid">
        <fgColor rgb="FF00B0F0"/>
        <bgColor indexed="64"/>
      </patternFill>
    </fill>
    <fill>
      <patternFill patternType="solid">
        <fgColor theme="5"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
      <patternFill patternType="solid">
        <fgColor theme="7" tint="0.59999389629810485"/>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71" fontId="6"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9" fontId="2" fillId="0" borderId="0" applyFont="0" applyFill="0" applyBorder="0" applyAlignment="0" applyProtection="0"/>
  </cellStyleXfs>
  <cellXfs count="808">
    <xf numFmtId="0" fontId="0" fillId="0" borderId="0" xfId="0"/>
    <xf numFmtId="0" fontId="3" fillId="2" borderId="1"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1" fillId="0" borderId="2" xfId="0" applyFont="1" applyBorder="1" applyAlignment="1">
      <alignment horizontal="center"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4" xfId="0" applyFont="1" applyFill="1" applyBorder="1" applyAlignment="1">
      <alignment horizontal="center" vertical="center"/>
    </xf>
    <xf numFmtId="0" fontId="1" fillId="4" borderId="4" xfId="0" applyFont="1" applyFill="1" applyBorder="1" applyAlignment="1">
      <alignment vertical="center"/>
    </xf>
    <xf numFmtId="0" fontId="1" fillId="4" borderId="4" xfId="0" applyFont="1" applyFill="1" applyBorder="1" applyAlignment="1">
      <alignment horizontal="center" vertical="center"/>
    </xf>
    <xf numFmtId="0" fontId="1" fillId="0" borderId="5" xfId="0" applyFont="1" applyBorder="1" applyAlignment="1">
      <alignment vertical="center" wrapText="1"/>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0" fontId="1" fillId="7" borderId="4" xfId="0" applyFont="1" applyFill="1" applyBorder="1" applyAlignment="1">
      <alignment vertical="center"/>
    </xf>
    <xf numFmtId="0" fontId="1" fillId="7" borderId="4" xfId="0" applyFont="1" applyFill="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vertical="center"/>
    </xf>
    <xf numFmtId="0" fontId="1" fillId="0" borderId="6"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3" fillId="0" borderId="1" xfId="0" applyFont="1" applyBorder="1" applyAlignment="1">
      <alignment horizontal="justify" vertical="center"/>
    </xf>
    <xf numFmtId="171" fontId="3" fillId="0" borderId="1" xfId="1" applyFont="1" applyBorder="1" applyAlignment="1">
      <alignment horizontal="right" vertical="center" wrapText="1"/>
    </xf>
    <xf numFmtId="0" fontId="3" fillId="0" borderId="6" xfId="0" applyFont="1" applyBorder="1" applyAlignment="1">
      <alignment vertical="center" wrapText="1"/>
    </xf>
    <xf numFmtId="1" fontId="3" fillId="0" borderId="2" xfId="0" applyNumberFormat="1" applyFont="1" applyBorder="1" applyAlignment="1">
      <alignment horizontal="center" vertical="center"/>
    </xf>
    <xf numFmtId="0" fontId="3" fillId="0" borderId="7" xfId="0" applyFont="1" applyBorder="1" applyAlignment="1">
      <alignment vertical="center" wrapText="1"/>
    </xf>
    <xf numFmtId="1" fontId="3" fillId="0" borderId="6" xfId="0" applyNumberFormat="1" applyFont="1" applyBorder="1" applyAlignment="1">
      <alignment horizontal="center" vertical="center"/>
    </xf>
    <xf numFmtId="0" fontId="3" fillId="0" borderId="8" xfId="0" applyFont="1" applyBorder="1" applyAlignment="1">
      <alignment vertical="center" wrapText="1"/>
    </xf>
    <xf numFmtId="1" fontId="3" fillId="0" borderId="9" xfId="0" applyNumberFormat="1" applyFont="1" applyBorder="1" applyAlignment="1">
      <alignment horizontal="center" vertical="center"/>
    </xf>
    <xf numFmtId="0" fontId="1" fillId="0" borderId="9" xfId="0" applyFont="1" applyBorder="1" applyAlignment="1">
      <alignment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10" xfId="0" applyFont="1" applyBorder="1" applyAlignment="1">
      <alignment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xf>
    <xf numFmtId="0" fontId="1" fillId="0" borderId="11"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left" vertical="center"/>
    </xf>
    <xf numFmtId="0" fontId="1" fillId="2" borderId="4" xfId="0" applyFont="1" applyFill="1" applyBorder="1" applyAlignment="1">
      <alignment vertical="center"/>
    </xf>
    <xf numFmtId="0" fontId="1" fillId="2" borderId="12" xfId="0" applyFont="1" applyFill="1" applyBorder="1" applyAlignment="1">
      <alignment vertical="center"/>
    </xf>
    <xf numFmtId="0" fontId="3" fillId="0" borderId="12" xfId="0" applyFont="1" applyBorder="1" applyAlignment="1">
      <alignment horizontal="justify" vertical="center" wrapText="1"/>
    </xf>
    <xf numFmtId="2" fontId="3" fillId="0" borderId="4" xfId="0" applyNumberFormat="1" applyFont="1" applyBorder="1" applyAlignment="1">
      <alignment horizontal="center" vertical="center"/>
    </xf>
    <xf numFmtId="2" fontId="3" fillId="2" borderId="1" xfId="0" applyNumberFormat="1" applyFont="1" applyFill="1" applyBorder="1" applyAlignment="1">
      <alignment horizontal="center" vertical="center"/>
    </xf>
    <xf numFmtId="0" fontId="3" fillId="7" borderId="4" xfId="0" applyFont="1" applyFill="1" applyBorder="1" applyAlignment="1">
      <alignment horizontal="justify" vertical="center" wrapText="1"/>
    </xf>
    <xf numFmtId="0" fontId="3"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2" fontId="3" fillId="7" borderId="4" xfId="0" applyNumberFormat="1" applyFont="1" applyFill="1" applyBorder="1" applyAlignment="1">
      <alignment horizontal="center" vertical="center"/>
    </xf>
    <xf numFmtId="0" fontId="3" fillId="7" borderId="4" xfId="0" applyFont="1" applyFill="1" applyBorder="1" applyAlignment="1">
      <alignment horizontal="justify" vertical="center"/>
    </xf>
    <xf numFmtId="0" fontId="3" fillId="0" borderId="4" xfId="0" applyFont="1" applyBorder="1" applyAlignment="1">
      <alignment horizontal="justify" vertical="center"/>
    </xf>
    <xf numFmtId="2" fontId="1" fillId="7" borderId="4" xfId="0" applyNumberFormat="1" applyFont="1" applyFill="1" applyBorder="1" applyAlignment="1">
      <alignment vertical="center"/>
    </xf>
    <xf numFmtId="2" fontId="1" fillId="2" borderId="4" xfId="0" applyNumberFormat="1" applyFont="1" applyFill="1" applyBorder="1" applyAlignment="1">
      <alignment vertical="center"/>
    </xf>
    <xf numFmtId="0" fontId="3" fillId="0" borderId="9" xfId="0" applyFont="1" applyBorder="1" applyAlignment="1">
      <alignment vertical="center" wrapText="1"/>
    </xf>
    <xf numFmtId="0" fontId="3" fillId="2"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7" borderId="12" xfId="0" applyFont="1" applyFill="1" applyBorder="1" applyAlignment="1">
      <alignment horizontal="justify" vertical="center" wrapText="1"/>
    </xf>
    <xf numFmtId="0" fontId="3"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2" xfId="0" applyFont="1" applyFill="1" applyBorder="1" applyAlignment="1">
      <alignment horizontal="justify" vertical="center" wrapText="1"/>
    </xf>
    <xf numFmtId="0" fontId="3" fillId="7" borderId="2" xfId="0" applyFont="1" applyFill="1" applyBorder="1" applyAlignment="1">
      <alignment horizontal="center" vertical="center" wrapText="1"/>
    </xf>
    <xf numFmtId="2" fontId="3" fillId="7" borderId="1" xfId="0" applyNumberFormat="1" applyFont="1" applyFill="1" applyBorder="1" applyAlignment="1">
      <alignment horizontal="center" vertical="center"/>
    </xf>
    <xf numFmtId="0" fontId="3" fillId="0" borderId="5" xfId="0" applyFont="1" applyBorder="1" applyAlignment="1">
      <alignment horizontal="justify" vertical="center" wrapText="1"/>
    </xf>
    <xf numFmtId="0" fontId="1" fillId="7" borderId="12" xfId="0" applyFont="1" applyFill="1" applyBorder="1" applyAlignment="1">
      <alignment horizontal="justify" vertical="center" wrapText="1"/>
    </xf>
    <xf numFmtId="0" fontId="1" fillId="7" borderId="3" xfId="0" applyFont="1" applyFill="1" applyBorder="1" applyAlignment="1">
      <alignment horizontal="center" vertical="center"/>
    </xf>
    <xf numFmtId="0" fontId="1" fillId="8" borderId="3" xfId="0" applyFont="1" applyFill="1" applyBorder="1" applyAlignment="1">
      <alignment horizontal="left" vertical="center"/>
    </xf>
    <xf numFmtId="0" fontId="1" fillId="8" borderId="4" xfId="0" applyFont="1" applyFill="1" applyBorder="1" applyAlignment="1">
      <alignment vertical="center"/>
    </xf>
    <xf numFmtId="2" fontId="1" fillId="8" borderId="4" xfId="0" applyNumberFormat="1" applyFont="1" applyFill="1" applyBorder="1" applyAlignment="1">
      <alignment vertical="center"/>
    </xf>
    <xf numFmtId="1" fontId="3" fillId="0" borderId="1" xfId="0" applyNumberFormat="1" applyFont="1" applyBorder="1" applyAlignment="1">
      <alignment horizontal="center" vertical="center" wrapText="1"/>
    </xf>
    <xf numFmtId="173" fontId="3" fillId="0" borderId="1" xfId="2" applyNumberFormat="1" applyFont="1" applyBorder="1" applyAlignment="1">
      <alignment horizontal="center" vertical="center" wrapText="1"/>
    </xf>
    <xf numFmtId="1" fontId="3" fillId="2" borderId="1" xfId="0" applyNumberFormat="1" applyFont="1" applyFill="1" applyBorder="1" applyAlignment="1">
      <alignment horizontal="center" vertical="center"/>
    </xf>
    <xf numFmtId="0" fontId="1" fillId="0" borderId="8" xfId="0" applyFont="1" applyBorder="1" applyAlignment="1">
      <alignment vertical="center" wrapText="1"/>
    </xf>
    <xf numFmtId="1" fontId="3" fillId="7"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0" fontId="3" fillId="0" borderId="5" xfId="0" applyFont="1" applyBorder="1" applyAlignment="1">
      <alignment horizontal="center" vertical="center"/>
    </xf>
    <xf numFmtId="0" fontId="1" fillId="3" borderId="13" xfId="0" applyFont="1" applyFill="1" applyBorder="1" applyAlignment="1">
      <alignment horizontal="left" vertical="center"/>
    </xf>
    <xf numFmtId="0" fontId="1" fillId="3" borderId="5" xfId="0" applyFont="1" applyFill="1" applyBorder="1" applyAlignment="1">
      <alignment horizontal="left" vertical="center"/>
    </xf>
    <xf numFmtId="0" fontId="1" fillId="3" borderId="5" xfId="0" applyFont="1" applyFill="1" applyBorder="1" applyAlignment="1">
      <alignment horizontal="center" vertical="center"/>
    </xf>
    <xf numFmtId="1" fontId="1" fillId="3" borderId="5" xfId="0" applyNumberFormat="1" applyFont="1" applyFill="1" applyBorder="1" applyAlignment="1">
      <alignment horizontal="left" vertical="center"/>
    </xf>
    <xf numFmtId="1" fontId="1" fillId="4" borderId="4" xfId="0" applyNumberFormat="1" applyFont="1" applyFill="1" applyBorder="1" applyAlignment="1">
      <alignment vertical="center"/>
    </xf>
    <xf numFmtId="0" fontId="1" fillId="7" borderId="4" xfId="0" applyFont="1" applyFill="1" applyBorder="1" applyAlignment="1">
      <alignment horizontal="justify" vertical="center" wrapText="1"/>
    </xf>
    <xf numFmtId="1" fontId="1" fillId="7" borderId="4" xfId="0" applyNumberFormat="1" applyFont="1" applyFill="1" applyBorder="1" applyAlignment="1">
      <alignment vertical="center"/>
    </xf>
    <xf numFmtId="0" fontId="1" fillId="0" borderId="4" xfId="0" applyFont="1" applyBorder="1" applyAlignment="1">
      <alignment horizontal="center" vertical="center" wrapText="1"/>
    </xf>
    <xf numFmtId="1" fontId="1" fillId="2" borderId="4" xfId="0" applyNumberFormat="1" applyFont="1" applyFill="1" applyBorder="1" applyAlignment="1">
      <alignment vertical="center"/>
    </xf>
    <xf numFmtId="2" fontId="3" fillId="4"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2" fontId="1" fillId="3" borderId="4" xfId="0" applyNumberFormat="1" applyFont="1" applyFill="1" applyBorder="1" applyAlignment="1">
      <alignment horizontal="left" vertical="center"/>
    </xf>
    <xf numFmtId="2" fontId="1" fillId="4" borderId="4" xfId="0" applyNumberFormat="1" applyFont="1" applyFill="1" applyBorder="1" applyAlignment="1">
      <alignment vertical="center"/>
    </xf>
    <xf numFmtId="0" fontId="1" fillId="7" borderId="3" xfId="0" applyFont="1" applyFill="1" applyBorder="1" applyAlignment="1">
      <alignment horizontal="justify" vertical="center" wrapText="1"/>
    </xf>
    <xf numFmtId="0" fontId="3" fillId="0" borderId="1" xfId="1" applyNumberFormat="1" applyFont="1" applyBorder="1" applyAlignment="1">
      <alignment horizontal="center" vertical="center" wrapText="1"/>
    </xf>
    <xf numFmtId="171" fontId="3" fillId="0" borderId="1" xfId="1" applyFont="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1" fillId="2" borderId="1" xfId="0" applyFont="1" applyFill="1" applyBorder="1" applyAlignment="1">
      <alignment horizontal="justify" vertical="center" wrapText="1"/>
    </xf>
    <xf numFmtId="171" fontId="3" fillId="0" borderId="3" xfId="1" applyFont="1" applyBorder="1" applyAlignment="1">
      <alignment horizontal="center" vertical="center" wrapText="1"/>
    </xf>
    <xf numFmtId="0" fontId="3" fillId="0" borderId="1" xfId="0" applyFont="1" applyBorder="1"/>
    <xf numFmtId="0" fontId="3" fillId="0" borderId="1" xfId="0" applyFont="1" applyBorder="1" applyAlignment="1">
      <alignment vertical="center" wrapText="1"/>
    </xf>
    <xf numFmtId="173" fontId="3" fillId="2" borderId="1" xfId="0" applyNumberFormat="1" applyFont="1" applyFill="1" applyBorder="1" applyAlignment="1">
      <alignment horizontal="justify" vertical="center" wrapText="1"/>
    </xf>
    <xf numFmtId="1" fontId="3" fillId="7" borderId="1" xfId="0" applyNumberFormat="1" applyFont="1" applyFill="1" applyBorder="1" applyAlignment="1">
      <alignment horizontal="center" vertical="center" wrapText="1"/>
    </xf>
    <xf numFmtId="0" fontId="3" fillId="4" borderId="12" xfId="0" applyFont="1" applyFill="1" applyBorder="1" applyAlignment="1">
      <alignment horizontal="justify" vertical="center" wrapText="1"/>
    </xf>
    <xf numFmtId="1" fontId="3" fillId="4"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0" fontId="1" fillId="7" borderId="1" xfId="0" applyFont="1" applyFill="1" applyBorder="1" applyAlignment="1">
      <alignment horizontal="justify" vertical="center" wrapText="1"/>
    </xf>
    <xf numFmtId="3" fontId="1" fillId="2" borderId="4" xfId="0" applyNumberFormat="1" applyFont="1" applyFill="1" applyBorder="1" applyAlignment="1">
      <alignment vertical="center"/>
    </xf>
    <xf numFmtId="0" fontId="3" fillId="0" borderId="1" xfId="2" applyNumberFormat="1" applyFont="1" applyBorder="1" applyAlignment="1">
      <alignment horizontal="center" vertical="center" wrapText="1"/>
    </xf>
    <xf numFmtId="1" fontId="3" fillId="0" borderId="1" xfId="2" applyNumberFormat="1" applyFont="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justify" vertical="center" wrapText="1"/>
    </xf>
    <xf numFmtId="173" fontId="3" fillId="8" borderId="1" xfId="0" applyNumberFormat="1" applyFont="1" applyFill="1" applyBorder="1" applyAlignment="1">
      <alignment horizontal="justify" vertical="center" wrapText="1"/>
    </xf>
    <xf numFmtId="0" fontId="1" fillId="0" borderId="13" xfId="0" applyFont="1" applyBorder="1" applyAlignment="1">
      <alignment vertical="center" wrapText="1"/>
    </xf>
    <xf numFmtId="0" fontId="1" fillId="2" borderId="12" xfId="0" applyFont="1" applyFill="1" applyBorder="1" applyAlignment="1">
      <alignment horizontal="justify" vertical="center" wrapText="1"/>
    </xf>
    <xf numFmtId="0" fontId="1" fillId="2" borderId="5" xfId="0" applyFont="1" applyFill="1" applyBorder="1" applyAlignment="1">
      <alignment vertical="center"/>
    </xf>
    <xf numFmtId="0" fontId="3" fillId="0" borderId="11" xfId="0" applyFont="1" applyBorder="1" applyAlignment="1">
      <alignment vertical="center" wrapText="1"/>
    </xf>
    <xf numFmtId="0" fontId="3" fillId="8" borderId="9" xfId="0" applyFont="1" applyFill="1" applyBorder="1" applyAlignment="1">
      <alignment horizontal="center" vertical="center" wrapText="1"/>
    </xf>
    <xf numFmtId="1" fontId="3" fillId="5" borderId="1" xfId="0" applyNumberFormat="1" applyFont="1" applyFill="1" applyBorder="1" applyAlignment="1">
      <alignment horizontal="justify" vertical="center" wrapText="1"/>
    </xf>
    <xf numFmtId="1" fontId="3" fillId="0" borderId="3"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2" fontId="3" fillId="0" borderId="5" xfId="0" applyNumberFormat="1" applyFont="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horizontal="center" vertical="center"/>
    </xf>
    <xf numFmtId="2" fontId="1" fillId="2" borderId="10" xfId="0" applyNumberFormat="1" applyFont="1" applyFill="1" applyBorder="1" applyAlignment="1">
      <alignment vertical="center"/>
    </xf>
    <xf numFmtId="0" fontId="3" fillId="0" borderId="1" xfId="2" applyNumberFormat="1" applyFont="1" applyBorder="1" applyAlignment="1">
      <alignment horizontal="center" vertical="center"/>
    </xf>
    <xf numFmtId="2" fontId="3" fillId="2" borderId="9" xfId="2" applyNumberFormat="1" applyFont="1" applyFill="1" applyBorder="1" applyAlignment="1">
      <alignment horizontal="center" vertical="center"/>
    </xf>
    <xf numFmtId="2" fontId="3" fillId="2" borderId="1" xfId="2" applyNumberFormat="1" applyFont="1" applyFill="1" applyBorder="1" applyAlignment="1">
      <alignment horizontal="center" vertical="center"/>
    </xf>
    <xf numFmtId="2" fontId="3" fillId="0" borderId="4" xfId="2" applyNumberFormat="1" applyFont="1" applyBorder="1" applyAlignment="1">
      <alignment horizontal="center" vertical="center"/>
    </xf>
    <xf numFmtId="2" fontId="3" fillId="0" borderId="5" xfId="2" applyNumberFormat="1" applyFont="1" applyBorder="1" applyAlignment="1">
      <alignment horizontal="center" vertical="center"/>
    </xf>
    <xf numFmtId="0" fontId="1" fillId="7" borderId="5" xfId="0" applyFont="1" applyFill="1" applyBorder="1" applyAlignment="1">
      <alignment horizontal="center" vertical="center"/>
    </xf>
    <xf numFmtId="0" fontId="1" fillId="7" borderId="5" xfId="0" applyFont="1" applyFill="1" applyBorder="1" applyAlignment="1">
      <alignment vertical="center"/>
    </xf>
    <xf numFmtId="2" fontId="1" fillId="7" borderId="5" xfId="0" applyNumberFormat="1" applyFont="1" applyFill="1" applyBorder="1" applyAlignment="1">
      <alignment vertical="center"/>
    </xf>
    <xf numFmtId="2" fontId="1" fillId="2" borderId="4" xfId="0" applyNumberFormat="1" applyFont="1" applyFill="1" applyBorder="1" applyAlignment="1">
      <alignment horizontal="left" vertical="center"/>
    </xf>
    <xf numFmtId="0" fontId="3" fillId="4" borderId="2"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1" fillId="4" borderId="4" xfId="0" applyFont="1" applyFill="1" applyBorder="1" applyAlignment="1">
      <alignment horizontal="justify" vertical="center" wrapText="1"/>
    </xf>
    <xf numFmtId="0" fontId="1" fillId="0" borderId="14" xfId="0" applyFont="1" applyBorder="1" applyAlignment="1">
      <alignment horizontal="justify" vertical="center" wrapText="1"/>
    </xf>
    <xf numFmtId="0" fontId="3" fillId="2" borderId="1" xfId="0" applyFont="1" applyFill="1" applyBorder="1" applyAlignment="1">
      <alignment horizontal="justify" vertical="center"/>
    </xf>
    <xf numFmtId="0" fontId="3" fillId="0" borderId="8" xfId="0" applyFont="1" applyBorder="1" applyAlignment="1">
      <alignment horizontal="center" vertical="center" wrapText="1"/>
    </xf>
    <xf numFmtId="3" fontId="3" fillId="0" borderId="1" xfId="0" applyNumberFormat="1" applyFont="1" applyBorder="1" applyAlignment="1">
      <alignment horizontal="center" vertical="center"/>
    </xf>
    <xf numFmtId="3" fontId="3" fillId="2" borderId="1"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1" fillId="0" borderId="10" xfId="0" applyFont="1" applyBorder="1" applyAlignment="1">
      <alignment horizontal="justify" vertical="center"/>
    </xf>
    <xf numFmtId="0" fontId="1" fillId="0" borderId="10" xfId="0" applyFont="1" applyBorder="1" applyAlignment="1">
      <alignment horizontal="center" vertical="center"/>
    </xf>
    <xf numFmtId="3" fontId="3" fillId="0" borderId="4"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xf numFmtId="3" fontId="3" fillId="0" borderId="4" xfId="0" applyNumberFormat="1" applyFont="1" applyBorder="1" applyAlignment="1">
      <alignment horizontal="center" vertical="center"/>
    </xf>
    <xf numFmtId="0" fontId="1" fillId="7" borderId="1" xfId="0" applyFont="1" applyFill="1" applyBorder="1" applyAlignment="1">
      <alignment horizontal="justify" vertical="center"/>
    </xf>
    <xf numFmtId="0" fontId="1" fillId="7" borderId="1" xfId="0" applyFont="1" applyFill="1" applyBorder="1" applyAlignment="1">
      <alignment horizontal="center" vertical="center"/>
    </xf>
    <xf numFmtId="3" fontId="3" fillId="7" borderId="1" xfId="0" applyNumberFormat="1" applyFont="1" applyFill="1" applyBorder="1" applyAlignment="1">
      <alignment horizontal="center" vertical="center"/>
    </xf>
    <xf numFmtId="3" fontId="1" fillId="7" borderId="4" xfId="0" applyNumberFormat="1" applyFont="1" applyFill="1" applyBorder="1" applyAlignment="1">
      <alignment vertical="center"/>
    </xf>
    <xf numFmtId="0" fontId="1" fillId="8" borderId="3" xfId="0" applyFont="1" applyFill="1" applyBorder="1" applyAlignment="1">
      <alignment horizontal="left" vertical="center" wrapText="1"/>
    </xf>
    <xf numFmtId="3" fontId="1" fillId="8" borderId="4" xfId="0" applyNumberFormat="1" applyFont="1" applyFill="1" applyBorder="1" applyAlignment="1">
      <alignment vertical="center"/>
    </xf>
    <xf numFmtId="0" fontId="1" fillId="0" borderId="14" xfId="0" applyFont="1" applyBorder="1" applyAlignment="1">
      <alignment vertical="center" wrapText="1"/>
    </xf>
    <xf numFmtId="3" fontId="3" fillId="0" borderId="5" xfId="0" applyNumberFormat="1" applyFont="1" applyBorder="1" applyAlignment="1">
      <alignment horizontal="center" vertical="center"/>
    </xf>
    <xf numFmtId="0" fontId="1" fillId="0" borderId="15" xfId="0" applyFont="1" applyBorder="1" applyAlignment="1">
      <alignment vertical="center" wrapText="1"/>
    </xf>
    <xf numFmtId="3" fontId="3" fillId="7" borderId="1" xfId="0" applyNumberFormat="1" applyFont="1" applyFill="1" applyBorder="1" applyAlignment="1">
      <alignment horizontal="center" vertical="center" wrapText="1"/>
    </xf>
    <xf numFmtId="0" fontId="1" fillId="4" borderId="1" xfId="0" applyFont="1" applyFill="1" applyBorder="1" applyAlignment="1">
      <alignment horizontal="justify" vertical="center"/>
    </xf>
    <xf numFmtId="0" fontId="1" fillId="4" borderId="1"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0" fontId="1" fillId="5" borderId="1" xfId="0" applyFont="1" applyFill="1" applyBorder="1" applyAlignment="1">
      <alignment horizontal="justify" vertical="center"/>
    </xf>
    <xf numFmtId="0" fontId="1" fillId="5" borderId="1" xfId="0" applyFont="1" applyFill="1" applyBorder="1" applyAlignment="1">
      <alignment horizontal="center" vertical="center"/>
    </xf>
    <xf numFmtId="3" fontId="3" fillId="5" borderId="1" xfId="0" applyNumberFormat="1" applyFont="1" applyFill="1" applyBorder="1" applyAlignment="1">
      <alignment horizontal="center" vertical="center" wrapText="1"/>
    </xf>
    <xf numFmtId="0" fontId="1" fillId="0" borderId="4" xfId="0" applyFont="1" applyBorder="1" applyAlignment="1">
      <alignment horizontal="justify" vertical="center"/>
    </xf>
    <xf numFmtId="0" fontId="1" fillId="0" borderId="4" xfId="0" applyFont="1" applyBorder="1" applyAlignment="1">
      <alignment horizontal="center" vertical="center"/>
    </xf>
    <xf numFmtId="3" fontId="1" fillId="3" borderId="4" xfId="0" applyNumberFormat="1" applyFont="1" applyFill="1" applyBorder="1" applyAlignment="1">
      <alignment horizontal="left" vertical="center"/>
    </xf>
    <xf numFmtId="3" fontId="1" fillId="4" borderId="4" xfId="0" applyNumberFormat="1" applyFont="1" applyFill="1" applyBorder="1" applyAlignment="1">
      <alignment vertical="center"/>
    </xf>
    <xf numFmtId="0" fontId="1" fillId="2" borderId="4" xfId="0" applyFont="1" applyFill="1" applyBorder="1" applyAlignment="1">
      <alignment horizontal="justify"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1" fillId="2" borderId="4" xfId="0" applyNumberFormat="1" applyFont="1" applyFill="1" applyBorder="1" applyAlignment="1">
      <alignment vertical="center"/>
    </xf>
    <xf numFmtId="4" fontId="3" fillId="2" borderId="1"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0" fontId="1" fillId="2" borderId="9" xfId="0" applyFont="1" applyFill="1" applyBorder="1" applyAlignment="1">
      <alignment horizontal="justify" vertical="center" wrapText="1"/>
    </xf>
    <xf numFmtId="4" fontId="3" fillId="7" borderId="1" xfId="0" applyNumberFormat="1" applyFont="1" applyFill="1" applyBorder="1" applyAlignment="1">
      <alignment horizontal="center" vertical="center" wrapText="1"/>
    </xf>
    <xf numFmtId="4" fontId="1" fillId="7" borderId="4" xfId="0" applyNumberFormat="1" applyFont="1" applyFill="1" applyBorder="1" applyAlignment="1">
      <alignment vertical="center"/>
    </xf>
    <xf numFmtId="4" fontId="1" fillId="8" borderId="4" xfId="0" applyNumberFormat="1" applyFont="1" applyFill="1" applyBorder="1" applyAlignment="1">
      <alignment vertical="center"/>
    </xf>
    <xf numFmtId="4" fontId="3" fillId="4" borderId="1"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vertical="center" wrapText="1"/>
    </xf>
    <xf numFmtId="4" fontId="1" fillId="3" borderId="4" xfId="0" applyNumberFormat="1" applyFont="1" applyFill="1" applyBorder="1" applyAlignment="1">
      <alignment horizontal="left" vertical="center" wrapText="1"/>
    </xf>
    <xf numFmtId="4" fontId="1" fillId="4" borderId="4" xfId="0" applyNumberFormat="1" applyFont="1" applyFill="1" applyBorder="1" applyAlignment="1">
      <alignment vertical="center"/>
    </xf>
    <xf numFmtId="171" fontId="3" fillId="0" borderId="6" xfId="2" applyFont="1" applyBorder="1" applyAlignment="1">
      <alignment horizontal="center" vertical="center"/>
    </xf>
    <xf numFmtId="4" fontId="3" fillId="2" borderId="1" xfId="0" applyNumberFormat="1" applyFont="1" applyFill="1" applyBorder="1" applyAlignment="1">
      <alignment horizontal="justify" vertical="center" wrapText="1"/>
    </xf>
    <xf numFmtId="4" fontId="3" fillId="0" borderId="4" xfId="0" applyNumberFormat="1" applyFont="1" applyBorder="1" applyAlignment="1">
      <alignment horizontal="justify" vertical="center" wrapText="1"/>
    </xf>
    <xf numFmtId="3" fontId="3" fillId="2" borderId="1" xfId="0" applyNumberFormat="1" applyFont="1" applyFill="1" applyBorder="1" applyAlignment="1">
      <alignment horizontal="justify" vertical="center" wrapText="1"/>
    </xf>
    <xf numFmtId="4" fontId="3" fillId="7" borderId="1" xfId="0" applyNumberFormat="1" applyFont="1" applyFill="1" applyBorder="1" applyAlignment="1">
      <alignment horizontal="justify" vertical="center" wrapText="1"/>
    </xf>
    <xf numFmtId="0" fontId="1" fillId="4" borderId="1" xfId="0" applyFont="1" applyFill="1" applyBorder="1" applyAlignment="1">
      <alignment vertical="center" wrapText="1"/>
    </xf>
    <xf numFmtId="0" fontId="3" fillId="8" borderId="10" xfId="0" applyFont="1" applyFill="1" applyBorder="1" applyAlignment="1">
      <alignment horizontal="center" vertical="center" wrapText="1"/>
    </xf>
    <xf numFmtId="4" fontId="3" fillId="8" borderId="1" xfId="0" applyNumberFormat="1" applyFont="1" applyFill="1" applyBorder="1" applyAlignment="1">
      <alignment horizontal="center" vertical="center" wrapText="1"/>
    </xf>
    <xf numFmtId="4" fontId="3" fillId="8" borderId="9" xfId="0" applyNumberFormat="1" applyFont="1" applyFill="1" applyBorder="1" applyAlignment="1">
      <alignment horizontal="center" vertical="center" wrapText="1"/>
    </xf>
    <xf numFmtId="4" fontId="3" fillId="0" borderId="9" xfId="0" applyNumberFormat="1" applyFont="1" applyBorder="1" applyAlignment="1">
      <alignment horizontal="center" vertical="center" wrapText="1"/>
    </xf>
    <xf numFmtId="0" fontId="1" fillId="8" borderId="1" xfId="0" applyFont="1" applyFill="1" applyBorder="1" applyAlignment="1">
      <alignment vertical="center"/>
    </xf>
    <xf numFmtId="0" fontId="1" fillId="0" borderId="1" xfId="0" applyFont="1" applyBorder="1" applyAlignment="1">
      <alignment horizontal="justify"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3" fillId="2" borderId="4"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1" fillId="0" borderId="4" xfId="0" applyFont="1" applyBorder="1" applyAlignment="1">
      <alignment horizontal="justify" vertical="center" wrapText="1"/>
    </xf>
    <xf numFmtId="0" fontId="3" fillId="0" borderId="6" xfId="0" applyFont="1" applyBorder="1" applyAlignment="1">
      <alignment vertical="center"/>
    </xf>
    <xf numFmtId="0" fontId="3" fillId="0" borderId="9" xfId="0" applyFont="1" applyBorder="1" applyAlignment="1">
      <alignment vertical="center"/>
    </xf>
    <xf numFmtId="0" fontId="1" fillId="2" borderId="1" xfId="0" applyFont="1" applyFill="1" applyBorder="1" applyAlignment="1">
      <alignment horizontal="justify" vertical="center"/>
    </xf>
    <xf numFmtId="2" fontId="3" fillId="2"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0" borderId="4"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2" fontId="3" fillId="2" borderId="2" xfId="0" applyNumberFormat="1" applyFont="1" applyFill="1" applyBorder="1" applyAlignment="1">
      <alignment horizontal="center" vertical="center" wrapText="1"/>
    </xf>
    <xf numFmtId="0" fontId="3" fillId="7" borderId="11" xfId="0" applyFont="1" applyFill="1" applyBorder="1" applyAlignment="1">
      <alignment horizontal="justify" vertical="center" wrapText="1"/>
    </xf>
    <xf numFmtId="2"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1" fontId="1" fillId="3" borderId="4" xfId="0" applyNumberFormat="1" applyFont="1" applyFill="1" applyBorder="1" applyAlignment="1">
      <alignment horizontal="left" vertical="center"/>
    </xf>
    <xf numFmtId="10" fontId="3" fillId="0" borderId="1"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71" fontId="1" fillId="2" borderId="4" xfId="1" applyFont="1" applyFill="1" applyBorder="1" applyAlignment="1">
      <alignment vertical="center"/>
    </xf>
    <xf numFmtId="10" fontId="3" fillId="0" borderId="1" xfId="0" applyNumberFormat="1" applyFont="1" applyBorder="1" applyAlignment="1">
      <alignment vertical="center" wrapText="1"/>
    </xf>
    <xf numFmtId="171" fontId="1" fillId="2" borderId="12" xfId="1" applyFont="1" applyFill="1" applyBorder="1" applyAlignment="1">
      <alignment vertical="center"/>
    </xf>
    <xf numFmtId="10" fontId="3" fillId="7" borderId="1" xfId="0" applyNumberFormat="1" applyFont="1" applyFill="1" applyBorder="1" applyAlignment="1">
      <alignment horizontal="center" vertical="center" wrapText="1"/>
    </xf>
    <xf numFmtId="4" fontId="3" fillId="0" borderId="5" xfId="0" applyNumberFormat="1" applyFont="1" applyBorder="1" applyAlignment="1">
      <alignment horizontal="center" vertical="center" wrapText="1"/>
    </xf>
    <xf numFmtId="0" fontId="1" fillId="2" borderId="5" xfId="0" applyFont="1" applyFill="1" applyBorder="1" applyAlignment="1">
      <alignment horizontal="justify" vertical="center" wrapText="1"/>
    </xf>
    <xf numFmtId="173" fontId="3" fillId="0" borderId="6" xfId="2" applyNumberFormat="1" applyFont="1" applyBorder="1" applyAlignment="1">
      <alignment horizontal="justify" vertical="center"/>
    </xf>
    <xf numFmtId="10" fontId="3" fillId="0" borderId="7" xfId="0" applyNumberFormat="1" applyFont="1" applyBorder="1" applyAlignment="1">
      <alignment horizontal="center" vertical="center" wrapText="1"/>
    </xf>
    <xf numFmtId="0" fontId="3" fillId="2" borderId="12" xfId="0" applyFont="1" applyFill="1" applyBorder="1" applyAlignment="1">
      <alignment horizontal="justify" vertical="center" wrapText="1"/>
    </xf>
    <xf numFmtId="4" fontId="3" fillId="0" borderId="4" xfId="0" applyNumberFormat="1" applyFont="1" applyBorder="1" applyAlignment="1">
      <alignment horizontal="center" vertical="center"/>
    </xf>
    <xf numFmtId="4" fontId="3" fillId="0" borderId="5" xfId="0" applyNumberFormat="1" applyFont="1" applyBorder="1" applyAlignment="1">
      <alignment horizontal="center" vertical="center"/>
    </xf>
    <xf numFmtId="10" fontId="3" fillId="0" borderId="6" xfId="0" applyNumberFormat="1" applyFont="1" applyBorder="1" applyAlignment="1">
      <alignment vertical="center" wrapText="1"/>
    </xf>
    <xf numFmtId="0" fontId="3" fillId="0" borderId="10" xfId="0" applyFont="1" applyBorder="1" applyAlignment="1">
      <alignment horizontal="justify" vertical="center" wrapText="1"/>
    </xf>
    <xf numFmtId="10" fontId="3" fillId="0" borderId="10"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10" fontId="3" fillId="0" borderId="7" xfId="0" applyNumberFormat="1" applyFont="1" applyBorder="1" applyAlignment="1">
      <alignment vertical="center" wrapText="1"/>
    </xf>
    <xf numFmtId="10" fontId="3" fillId="0" borderId="9" xfId="0" applyNumberFormat="1" applyFont="1" applyBorder="1" applyAlignment="1">
      <alignment vertical="center" wrapText="1"/>
    </xf>
    <xf numFmtId="13" fontId="3" fillId="0" borderId="6" xfId="0" applyNumberFormat="1" applyFont="1" applyBorder="1" applyAlignment="1">
      <alignment horizontal="center" vertical="center" wrapText="1"/>
    </xf>
    <xf numFmtId="10" fontId="3" fillId="0" borderId="9" xfId="0" applyNumberFormat="1" applyFont="1" applyBorder="1" applyAlignment="1">
      <alignment horizontal="center" vertical="center" wrapText="1"/>
    </xf>
    <xf numFmtId="0" fontId="3" fillId="2" borderId="9" xfId="0" applyFont="1" applyFill="1" applyBorder="1" applyAlignment="1">
      <alignment horizontal="justify" vertical="center" wrapText="1"/>
    </xf>
    <xf numFmtId="3"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xf>
    <xf numFmtId="0" fontId="3" fillId="7" borderId="8" xfId="0" applyFont="1" applyFill="1" applyBorder="1" applyAlignment="1">
      <alignment horizontal="justify" vertical="center" wrapText="1"/>
    </xf>
    <xf numFmtId="4" fontId="3" fillId="2" borderId="1" xfId="0" applyNumberFormat="1" applyFont="1" applyFill="1" applyBorder="1" applyAlignment="1">
      <alignment horizontal="center" vertical="center"/>
    </xf>
    <xf numFmtId="9" fontId="3" fillId="0" borderId="1" xfId="4" applyFont="1" applyBorder="1" applyAlignment="1">
      <alignment horizontal="center" vertical="center" wrapText="1"/>
    </xf>
    <xf numFmtId="9" fontId="3" fillId="2" borderId="1" xfId="4" applyFont="1" applyFill="1" applyBorder="1" applyAlignment="1">
      <alignment horizontal="center" vertical="center" wrapText="1"/>
    </xf>
    <xf numFmtId="3" fontId="3" fillId="2" borderId="1" xfId="4"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wrapText="1"/>
    </xf>
    <xf numFmtId="0" fontId="1" fillId="0" borderId="6" xfId="0" applyFont="1" applyBorder="1" applyAlignment="1">
      <alignment horizontal="right" vertical="center" wrapText="1"/>
    </xf>
    <xf numFmtId="0" fontId="1" fillId="0" borderId="9" xfId="0" applyFont="1" applyBorder="1" applyAlignment="1">
      <alignment horizontal="right" vertical="center" wrapText="1"/>
    </xf>
    <xf numFmtId="3" fontId="3" fillId="2" borderId="1" xfId="0" applyNumberFormat="1" applyFont="1" applyFill="1" applyBorder="1" applyAlignment="1">
      <alignment horizontal="right" vertical="center"/>
    </xf>
    <xf numFmtId="0" fontId="3" fillId="7" borderId="12" xfId="0" applyFont="1" applyFill="1" applyBorder="1" applyAlignment="1">
      <alignment horizontal="right" vertical="center" wrapText="1"/>
    </xf>
    <xf numFmtId="3" fontId="3" fillId="7" borderId="1" xfId="0" applyNumberFormat="1" applyFont="1" applyFill="1" applyBorder="1" applyAlignment="1">
      <alignment horizontal="right" vertical="center" wrapText="1"/>
    </xf>
    <xf numFmtId="3" fontId="3" fillId="7" borderId="1" xfId="0" applyNumberFormat="1" applyFont="1" applyFill="1" applyBorder="1" applyAlignment="1">
      <alignment horizontal="right" vertical="center"/>
    </xf>
    <xf numFmtId="49" fontId="3" fillId="7" borderId="12" xfId="0" applyNumberFormat="1" applyFont="1" applyFill="1" applyBorder="1" applyAlignment="1">
      <alignment horizontal="justify" vertical="center" wrapText="1"/>
    </xf>
    <xf numFmtId="49" fontId="3" fillId="7" borderId="1" xfId="0" applyNumberFormat="1" applyFont="1" applyFill="1" applyBorder="1" applyAlignment="1">
      <alignment horizontal="center" vertical="center" wrapText="1"/>
    </xf>
    <xf numFmtId="49" fontId="3" fillId="7" borderId="1" xfId="0" applyNumberFormat="1" applyFont="1" applyFill="1" applyBorder="1" applyAlignment="1">
      <alignment horizontal="justify" vertical="center" wrapText="1"/>
    </xf>
    <xf numFmtId="49" fontId="3" fillId="4" borderId="1" xfId="0" applyNumberFormat="1" applyFont="1" applyFill="1" applyBorder="1" applyAlignment="1">
      <alignment horizontal="justify" vertical="center" wrapText="1"/>
    </xf>
    <xf numFmtId="49" fontId="3" fillId="4" borderId="1" xfId="0" applyNumberFormat="1"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49" fontId="3" fillId="0" borderId="4" xfId="0" applyNumberFormat="1" applyFont="1" applyBorder="1" applyAlignment="1">
      <alignment horizontal="justify" vertical="center" wrapText="1"/>
    </xf>
    <xf numFmtId="49" fontId="3" fillId="0" borderId="4" xfId="0" applyNumberFormat="1" applyFont="1" applyBorder="1" applyAlignment="1">
      <alignment horizontal="center" vertical="center" wrapText="1"/>
    </xf>
    <xf numFmtId="49" fontId="3" fillId="6" borderId="2" xfId="0" applyNumberFormat="1" applyFont="1" applyFill="1" applyBorder="1" applyAlignment="1">
      <alignment vertical="center" wrapText="1"/>
    </xf>
    <xf numFmtId="49" fontId="3" fillId="0" borderId="6" xfId="0" applyNumberFormat="1" applyFont="1" applyBorder="1" applyAlignment="1">
      <alignment vertical="center" wrapText="1"/>
    </xf>
    <xf numFmtId="49" fontId="3" fillId="6" borderId="6" xfId="0" applyNumberFormat="1" applyFont="1" applyFill="1" applyBorder="1" applyAlignment="1">
      <alignment vertical="center" wrapText="1"/>
    </xf>
    <xf numFmtId="3" fontId="1" fillId="2" borderId="4" xfId="0" applyNumberFormat="1" applyFont="1" applyFill="1" applyBorder="1" applyAlignment="1">
      <alignment horizontal="left" vertical="center"/>
    </xf>
    <xf numFmtId="49" fontId="3" fillId="6" borderId="9" xfId="0" applyNumberFormat="1" applyFont="1" applyFill="1" applyBorder="1" applyAlignment="1">
      <alignment vertical="center" wrapText="1"/>
    </xf>
    <xf numFmtId="9" fontId="3" fillId="0" borderId="1" xfId="0" applyNumberFormat="1" applyFont="1" applyBorder="1" applyAlignment="1">
      <alignment horizontal="center" vertical="center"/>
    </xf>
    <xf numFmtId="49" fontId="3" fillId="6"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7" borderId="1" xfId="0" applyFont="1" applyFill="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horizontal="justify" vertical="center"/>
    </xf>
    <xf numFmtId="3" fontId="3" fillId="4" borderId="1" xfId="0" applyNumberFormat="1" applyFont="1" applyFill="1" applyBorder="1" applyAlignment="1">
      <alignment horizontal="center" vertical="center"/>
    </xf>
    <xf numFmtId="0" fontId="1" fillId="7" borderId="5" xfId="0" applyFont="1" applyFill="1" applyBorder="1" applyAlignment="1">
      <alignment horizontal="justify" vertical="center" wrapText="1"/>
    </xf>
    <xf numFmtId="3" fontId="3" fillId="0" borderId="1" xfId="1" applyNumberFormat="1" applyFont="1" applyBorder="1" applyAlignment="1">
      <alignment horizontal="center" vertical="center"/>
    </xf>
    <xf numFmtId="0" fontId="3" fillId="2" borderId="1" xfId="2"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3" fillId="0" borderId="2" xfId="0" applyFont="1" applyBorder="1" applyAlignment="1">
      <alignment vertical="center"/>
    </xf>
    <xf numFmtId="3" fontId="3" fillId="0" borderId="1" xfId="4"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1" fontId="1" fillId="2" borderId="4" xfId="0" applyNumberFormat="1" applyFont="1" applyFill="1" applyBorder="1" applyAlignment="1">
      <alignment horizontal="left" vertical="center"/>
    </xf>
    <xf numFmtId="1" fontId="3" fillId="0" borderId="1" xfId="4" applyNumberFormat="1" applyFont="1" applyBorder="1" applyAlignment="1">
      <alignment horizontal="center" vertical="center" wrapText="1"/>
    </xf>
    <xf numFmtId="0" fontId="1" fillId="7" borderId="1" xfId="0" applyFont="1" applyFill="1" applyBorder="1" applyAlignment="1">
      <alignment vertical="center"/>
    </xf>
    <xf numFmtId="1" fontId="3" fillId="5" borderId="1" xfId="0" applyNumberFormat="1" applyFont="1" applyFill="1" applyBorder="1" applyAlignment="1">
      <alignment horizontal="center" vertical="center" wrapText="1"/>
    </xf>
    <xf numFmtId="0" fontId="1" fillId="10" borderId="4" xfId="0" applyFont="1" applyFill="1" applyBorder="1" applyAlignment="1">
      <alignment horizontal="center" vertical="center" wrapText="1"/>
    </xf>
    <xf numFmtId="1" fontId="1" fillId="10" borderId="4" xfId="0" applyNumberFormat="1" applyFont="1" applyFill="1" applyBorder="1" applyAlignment="1">
      <alignment horizontal="center" vertical="center" wrapText="1"/>
    </xf>
    <xf numFmtId="0" fontId="1" fillId="10" borderId="1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 fillId="4" borderId="1" xfId="0" applyFont="1" applyFill="1" applyBorder="1" applyAlignment="1">
      <alignment vertical="center"/>
    </xf>
    <xf numFmtId="0" fontId="3" fillId="7" borderId="1" xfId="0" applyFont="1" applyFill="1" applyBorder="1" applyAlignment="1">
      <alignment horizontal="justify" vertical="center"/>
    </xf>
    <xf numFmtId="0" fontId="3" fillId="2" borderId="2" xfId="0" applyFont="1" applyFill="1" applyBorder="1" applyAlignment="1">
      <alignment horizontal="center" vertical="center"/>
    </xf>
    <xf numFmtId="1" fontId="3" fillId="2" borderId="2" xfId="0" applyNumberFormat="1" applyFont="1" applyFill="1" applyBorder="1" applyAlignment="1">
      <alignment horizontal="center" vertical="center"/>
    </xf>
    <xf numFmtId="0" fontId="3" fillId="2" borderId="2" xfId="0" applyFont="1" applyFill="1" applyBorder="1" applyAlignment="1">
      <alignment horizontal="justify" vertical="center"/>
    </xf>
    <xf numFmtId="0" fontId="3" fillId="7" borderId="2" xfId="0" applyFont="1" applyFill="1" applyBorder="1" applyAlignment="1">
      <alignment horizontal="center" vertical="center"/>
    </xf>
    <xf numFmtId="1" fontId="3" fillId="7" borderId="2" xfId="0" applyNumberFormat="1" applyFont="1" applyFill="1" applyBorder="1" applyAlignment="1">
      <alignment horizontal="center" vertical="center"/>
    </xf>
    <xf numFmtId="0" fontId="3" fillId="7" borderId="2" xfId="0" applyFont="1" applyFill="1" applyBorder="1" applyAlignment="1">
      <alignment horizontal="justify" vertical="center"/>
    </xf>
    <xf numFmtId="1" fontId="1" fillId="7" borderId="4" xfId="0" applyNumberFormat="1" applyFont="1" applyFill="1" applyBorder="1" applyAlignment="1">
      <alignment horizontal="justify" vertical="center" wrapText="1"/>
    </xf>
    <xf numFmtId="0" fontId="3" fillId="4" borderId="1" xfId="0" applyFont="1" applyFill="1" applyBorder="1" applyAlignment="1">
      <alignment horizontal="justify" vertical="center"/>
    </xf>
    <xf numFmtId="0" fontId="1" fillId="3" borderId="9" xfId="0" applyFont="1" applyFill="1" applyBorder="1" applyAlignment="1">
      <alignment horizontal="left" vertical="center"/>
    </xf>
    <xf numFmtId="0" fontId="1" fillId="3" borderId="9"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10" xfId="0" applyFont="1" applyFill="1" applyBorder="1" applyAlignment="1">
      <alignment horizontal="center" vertical="center"/>
    </xf>
    <xf numFmtId="1" fontId="1" fillId="3" borderId="10" xfId="0" applyNumberFormat="1" applyFont="1" applyFill="1" applyBorder="1" applyAlignment="1">
      <alignment horizontal="left" vertical="center"/>
    </xf>
    <xf numFmtId="0" fontId="1" fillId="4" borderId="4" xfId="0" applyFont="1" applyFill="1" applyBorder="1" applyAlignment="1">
      <alignment vertical="center" wrapText="1"/>
    </xf>
    <xf numFmtId="0" fontId="1" fillId="4" borderId="4" xfId="0" applyFont="1" applyFill="1" applyBorder="1" applyAlignment="1">
      <alignment horizontal="center" vertical="center" wrapText="1"/>
    </xf>
    <xf numFmtId="1" fontId="1" fillId="4" borderId="4" xfId="0" applyNumberFormat="1" applyFont="1" applyFill="1" applyBorder="1" applyAlignment="1">
      <alignment vertical="center" wrapText="1"/>
    </xf>
    <xf numFmtId="0" fontId="1" fillId="7" borderId="4" xfId="0" applyFont="1" applyFill="1" applyBorder="1" applyAlignment="1">
      <alignment vertical="center" wrapText="1"/>
    </xf>
    <xf numFmtId="0" fontId="1" fillId="7" borderId="4" xfId="0" applyFont="1" applyFill="1" applyBorder="1" applyAlignment="1">
      <alignment horizontal="center" vertical="center" wrapText="1"/>
    </xf>
    <xf numFmtId="1" fontId="1" fillId="7" borderId="4" xfId="0" applyNumberFormat="1" applyFont="1" applyFill="1" applyBorder="1" applyAlignment="1">
      <alignment vertical="center" wrapText="1"/>
    </xf>
    <xf numFmtId="173" fontId="3" fillId="0" borderId="1" xfId="0" applyNumberFormat="1" applyFont="1" applyBorder="1" applyAlignment="1">
      <alignment horizontal="justify" vertical="center" wrapText="1"/>
    </xf>
    <xf numFmtId="171" fontId="7" fillId="0" borderId="2" xfId="1" applyFont="1" applyBorder="1" applyAlignment="1">
      <alignment horizontal="center" vertical="center" wrapText="1"/>
    </xf>
    <xf numFmtId="171" fontId="7" fillId="0" borderId="13" xfId="1" applyFont="1" applyBorder="1" applyAlignment="1">
      <alignment horizontal="center" vertical="center" wrapText="1"/>
    </xf>
    <xf numFmtId="171" fontId="7" fillId="0" borderId="1" xfId="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1" xfId="1"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7" xfId="0" applyNumberFormat="1" applyFont="1" applyBorder="1" applyAlignment="1">
      <alignment horizontal="center" vertical="center"/>
    </xf>
    <xf numFmtId="0" fontId="3" fillId="0" borderId="6" xfId="0" applyFont="1" applyBorder="1" applyAlignment="1">
      <alignment horizontal="center"/>
    </xf>
    <xf numFmtId="0" fontId="3" fillId="0" borderId="6" xfId="0" applyFont="1" applyBorder="1"/>
    <xf numFmtId="0" fontId="1" fillId="0" borderId="2"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8"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3" fillId="9" borderId="0" xfId="0" applyFont="1" applyFill="1" applyAlignment="1">
      <alignment horizontal="center"/>
    </xf>
    <xf numFmtId="0" fontId="3" fillId="0" borderId="0" xfId="0" applyFont="1" applyAlignment="1">
      <alignment horizontal="center"/>
    </xf>
    <xf numFmtId="0" fontId="3" fillId="0" borderId="9" xfId="0" applyFont="1" applyBorder="1" applyAlignment="1">
      <alignment horizontal="right" vertical="center" wrapText="1"/>
    </xf>
    <xf numFmtId="0" fontId="1" fillId="0" borderId="13" xfId="0" applyFont="1" applyBorder="1" applyAlignment="1">
      <alignment horizontal="center" vertical="center" wrapText="1"/>
    </xf>
    <xf numFmtId="49" fontId="3" fillId="0" borderId="9" xfId="0" applyNumberFormat="1" applyFont="1" applyBorder="1" applyAlignment="1">
      <alignment horizontal="justify" vertical="center" wrapText="1"/>
    </xf>
    <xf numFmtId="16" fontId="3" fillId="0" borderId="9" xfId="0" applyNumberFormat="1" applyFont="1" applyBorder="1" applyAlignment="1">
      <alignment horizontal="center" vertical="center" wrapText="1"/>
    </xf>
    <xf numFmtId="0" fontId="3" fillId="0" borderId="5" xfId="0" applyFont="1" applyBorder="1" applyAlignment="1">
      <alignment horizontal="center" vertical="center" wrapText="1"/>
    </xf>
    <xf numFmtId="171" fontId="3" fillId="0" borderId="1" xfId="1" applyFont="1" applyBorder="1" applyAlignment="1">
      <alignment horizontal="justify" vertical="center"/>
    </xf>
    <xf numFmtId="171" fontId="3" fillId="0" borderId="1" xfId="1" applyFont="1" applyBorder="1" applyAlignment="1">
      <alignment horizontal="center" vertical="center"/>
    </xf>
    <xf numFmtId="171" fontId="3" fillId="0" borderId="3" xfId="1" applyFont="1" applyBorder="1" applyAlignment="1">
      <alignment horizontal="justify" vertical="center"/>
    </xf>
    <xf numFmtId="171" fontId="3" fillId="0" borderId="3" xfId="1" applyFont="1" applyBorder="1" applyAlignment="1">
      <alignment horizontal="center" vertical="center"/>
    </xf>
    <xf numFmtId="171" fontId="3" fillId="0" borderId="4" xfId="1" applyFont="1" applyBorder="1" applyAlignment="1">
      <alignment horizontal="justify" vertical="center"/>
    </xf>
    <xf numFmtId="171" fontId="3" fillId="9" borderId="4" xfId="1" applyFont="1" applyFill="1" applyBorder="1" applyAlignment="1">
      <alignment horizontal="justify" vertical="center"/>
    </xf>
    <xf numFmtId="171" fontId="3" fillId="0" borderId="4" xfId="1" applyFont="1" applyBorder="1" applyAlignment="1">
      <alignment horizontal="center" vertical="center"/>
    </xf>
    <xf numFmtId="171" fontId="3" fillId="0" borderId="4" xfId="1" applyFont="1" applyBorder="1" applyAlignment="1">
      <alignment vertical="center"/>
    </xf>
    <xf numFmtId="171" fontId="3" fillId="0" borderId="12" xfId="1" applyFont="1" applyBorder="1" applyAlignment="1">
      <alignment horizontal="justify" vertical="center"/>
    </xf>
    <xf numFmtId="171" fontId="3" fillId="2" borderId="1" xfId="1" applyFont="1" applyFill="1" applyBorder="1" applyAlignment="1">
      <alignment horizontal="justify" vertical="center"/>
    </xf>
    <xf numFmtId="171" fontId="3" fillId="7" borderId="4" xfId="1" applyFont="1" applyFill="1" applyBorder="1" applyAlignment="1">
      <alignment horizontal="justify" vertical="center"/>
    </xf>
    <xf numFmtId="171" fontId="1" fillId="7" borderId="4" xfId="1" applyFont="1" applyFill="1" applyBorder="1" applyAlignment="1">
      <alignment vertical="center"/>
    </xf>
    <xf numFmtId="171" fontId="1" fillId="7" borderId="4" xfId="1" applyFont="1" applyFill="1" applyBorder="1" applyAlignment="1">
      <alignment horizontal="center" vertical="center"/>
    </xf>
    <xf numFmtId="171" fontId="1" fillId="2" borderId="4" xfId="1" applyFont="1" applyFill="1" applyBorder="1" applyAlignment="1">
      <alignment horizontal="center" vertical="center"/>
    </xf>
    <xf numFmtId="171" fontId="3" fillId="0" borderId="1" xfId="1" applyFont="1" applyBorder="1" applyAlignment="1">
      <alignment vertical="center"/>
    </xf>
    <xf numFmtId="171" fontId="3" fillId="7" borderId="1" xfId="1" applyFont="1" applyFill="1" applyBorder="1" applyAlignment="1">
      <alignment horizontal="justify" vertical="center"/>
    </xf>
    <xf numFmtId="171" fontId="1" fillId="7" borderId="12" xfId="1" applyFont="1" applyFill="1" applyBorder="1" applyAlignment="1">
      <alignment vertical="center"/>
    </xf>
    <xf numFmtId="171" fontId="1" fillId="8" borderId="4" xfId="1" applyFont="1" applyFill="1" applyBorder="1" applyAlignment="1">
      <alignment vertical="center"/>
    </xf>
    <xf numFmtId="171" fontId="1" fillId="8" borderId="4" xfId="1" applyFont="1" applyFill="1" applyBorder="1" applyAlignment="1">
      <alignment horizontal="center" vertical="center"/>
    </xf>
    <xf numFmtId="171" fontId="1" fillId="8" borderId="12" xfId="1" applyFont="1" applyFill="1" applyBorder="1" applyAlignment="1">
      <alignment vertical="center"/>
    </xf>
    <xf numFmtId="171" fontId="3" fillId="0" borderId="1" xfId="1" applyFont="1" applyBorder="1" applyAlignment="1">
      <alignment vertical="center" wrapText="1"/>
    </xf>
    <xf numFmtId="171" fontId="3" fillId="4" borderId="1" xfId="1" applyFont="1" applyFill="1" applyBorder="1" applyAlignment="1">
      <alignment horizontal="justify" vertical="center"/>
    </xf>
    <xf numFmtId="171" fontId="3" fillId="5" borderId="1" xfId="1" applyFont="1" applyFill="1" applyBorder="1" applyAlignment="1">
      <alignment horizontal="justify" vertical="center"/>
    </xf>
    <xf numFmtId="171" fontId="1" fillId="0" borderId="1" xfId="1" applyFont="1" applyBorder="1" applyAlignment="1">
      <alignment horizontal="left" vertical="center"/>
    </xf>
    <xf numFmtId="171" fontId="1" fillId="0" borderId="9" xfId="1" applyFont="1" applyBorder="1" applyAlignment="1">
      <alignment horizontal="left" vertical="center"/>
    </xf>
    <xf numFmtId="171" fontId="3" fillId="0" borderId="9" xfId="1" applyFont="1" applyBorder="1" applyAlignment="1">
      <alignment horizontal="justify" vertical="center"/>
    </xf>
    <xf numFmtId="171" fontId="3" fillId="9" borderId="1" xfId="1" applyFont="1" applyFill="1" applyBorder="1" applyAlignment="1">
      <alignment horizontal="justify" vertical="center"/>
    </xf>
    <xf numFmtId="171" fontId="3" fillId="0" borderId="3" xfId="1" applyFont="1" applyBorder="1"/>
    <xf numFmtId="171" fontId="3" fillId="0" borderId="1" xfId="1" applyFont="1" applyBorder="1"/>
    <xf numFmtId="171" fontId="3" fillId="0" borderId="3" xfId="1" applyFont="1" applyBorder="1" applyAlignment="1">
      <alignment vertical="center"/>
    </xf>
    <xf numFmtId="171" fontId="1" fillId="4" borderId="4" xfId="1" applyFont="1" applyFill="1" applyBorder="1" applyAlignment="1">
      <alignment vertical="center"/>
    </xf>
    <xf numFmtId="171" fontId="1" fillId="4" borderId="4" xfId="1" applyFont="1" applyFill="1" applyBorder="1" applyAlignment="1">
      <alignment horizontal="center" vertical="center"/>
    </xf>
    <xf numFmtId="171" fontId="1" fillId="4" borderId="12" xfId="1" applyFont="1" applyFill="1" applyBorder="1" applyAlignment="1">
      <alignment vertical="center"/>
    </xf>
    <xf numFmtId="171" fontId="3" fillId="8" borderId="1" xfId="1" applyFont="1" applyFill="1" applyBorder="1" applyAlignment="1">
      <alignment horizontal="justify" vertical="center"/>
    </xf>
    <xf numFmtId="171" fontId="3" fillId="7" borderId="1" xfId="1" applyFont="1" applyFill="1" applyBorder="1" applyAlignment="1">
      <alignment horizontal="justify" vertical="center" wrapText="1"/>
    </xf>
    <xf numFmtId="171" fontId="3" fillId="11" borderId="16" xfId="1" applyFont="1" applyFill="1" applyBorder="1" applyAlignment="1">
      <alignment vertical="center"/>
    </xf>
    <xf numFmtId="171" fontId="3" fillId="0" borderId="2" xfId="1" applyFont="1" applyBorder="1" applyAlignment="1">
      <alignment horizontal="justify" vertical="center"/>
    </xf>
    <xf numFmtId="171" fontId="3" fillId="0" borderId="2" xfId="1" applyFont="1" applyBorder="1" applyAlignment="1">
      <alignment vertical="center"/>
    </xf>
    <xf numFmtId="171" fontId="3" fillId="2" borderId="4" xfId="1" applyFont="1" applyFill="1" applyBorder="1" applyAlignment="1">
      <alignment vertical="center" wrapText="1"/>
    </xf>
    <xf numFmtId="171" fontId="3" fillId="0" borderId="10" xfId="1" applyFont="1" applyBorder="1" applyAlignment="1">
      <alignment horizontal="justify" vertical="center"/>
    </xf>
    <xf numFmtId="171" fontId="3" fillId="0" borderId="10" xfId="1" applyFont="1" applyBorder="1" applyAlignment="1">
      <alignment horizontal="center" vertical="center"/>
    </xf>
    <xf numFmtId="171" fontId="1" fillId="2" borderId="5" xfId="1" applyFont="1" applyFill="1" applyBorder="1" applyAlignment="1">
      <alignment vertical="center"/>
    </xf>
    <xf numFmtId="171" fontId="1" fillId="2" borderId="5" xfId="1" applyFont="1" applyFill="1" applyBorder="1" applyAlignment="1">
      <alignment horizontal="center" vertical="center"/>
    </xf>
    <xf numFmtId="171" fontId="3" fillId="0" borderId="10" xfId="1" applyFont="1" applyBorder="1" applyAlignment="1">
      <alignment vertical="center"/>
    </xf>
    <xf numFmtId="171" fontId="1" fillId="7" borderId="5" xfId="1" applyFont="1" applyFill="1" applyBorder="1" applyAlignment="1">
      <alignment vertical="center"/>
    </xf>
    <xf numFmtId="171" fontId="1" fillId="7" borderId="5" xfId="1" applyFont="1" applyFill="1" applyBorder="1" applyAlignment="1">
      <alignment horizontal="center" vertical="center"/>
    </xf>
    <xf numFmtId="171" fontId="1" fillId="7" borderId="11" xfId="1" applyFont="1" applyFill="1" applyBorder="1" applyAlignment="1">
      <alignment vertical="center"/>
    </xf>
    <xf numFmtId="171" fontId="3" fillId="2" borderId="2" xfId="1" applyFont="1" applyFill="1" applyBorder="1" applyAlignment="1">
      <alignment horizontal="justify" vertical="center"/>
    </xf>
    <xf numFmtId="171" fontId="3" fillId="0" borderId="9" xfId="1" applyFont="1" applyBorder="1" applyAlignment="1">
      <alignment vertical="center"/>
    </xf>
    <xf numFmtId="171" fontId="3" fillId="0" borderId="9" xfId="1" applyFont="1" applyBorder="1" applyAlignment="1">
      <alignment horizontal="center" vertical="center"/>
    </xf>
    <xf numFmtId="171" fontId="1" fillId="0" borderId="15" xfId="1" applyFont="1" applyBorder="1" applyAlignment="1">
      <alignment horizontal="left" vertical="center"/>
    </xf>
    <xf numFmtId="171" fontId="3" fillId="0" borderId="1" xfId="1" applyFont="1" applyBorder="1" applyAlignment="1">
      <alignment horizontal="right" vertical="center"/>
    </xf>
    <xf numFmtId="171" fontId="3" fillId="0" borderId="15" xfId="1" applyFont="1" applyBorder="1" applyAlignment="1">
      <alignment horizontal="justify" vertical="center"/>
    </xf>
    <xf numFmtId="171" fontId="3" fillId="0" borderId="2" xfId="1" applyFont="1" applyBorder="1" applyAlignment="1">
      <alignment horizontal="center" vertical="center"/>
    </xf>
    <xf numFmtId="171" fontId="1" fillId="2" borderId="11" xfId="1" applyFont="1" applyFill="1" applyBorder="1" applyAlignment="1">
      <alignment vertical="center"/>
    </xf>
    <xf numFmtId="171" fontId="3" fillId="2" borderId="1" xfId="1" applyFont="1" applyFill="1" applyBorder="1" applyAlignment="1">
      <alignment horizontal="justify" vertical="center" wrapText="1"/>
    </xf>
    <xf numFmtId="171" fontId="3" fillId="0" borderId="4" xfId="1" applyFont="1" applyBorder="1" applyAlignment="1">
      <alignment horizontal="justify" vertical="center" wrapText="1"/>
    </xf>
    <xf numFmtId="171" fontId="3" fillId="9" borderId="4" xfId="1" applyFont="1" applyFill="1" applyBorder="1" applyAlignment="1">
      <alignment horizontal="justify" vertical="center" wrapText="1"/>
    </xf>
    <xf numFmtId="171" fontId="3" fillId="0" borderId="4" xfId="1" applyFont="1" applyBorder="1" applyAlignment="1">
      <alignment horizontal="center" vertical="center" wrapText="1"/>
    </xf>
    <xf numFmtId="171" fontId="3" fillId="0" borderId="4" xfId="1" applyFont="1" applyBorder="1" applyAlignment="1">
      <alignment vertical="center" wrapText="1"/>
    </xf>
    <xf numFmtId="171" fontId="1" fillId="4" borderId="1" xfId="1" applyFont="1" applyFill="1" applyBorder="1" applyAlignment="1">
      <alignment vertical="center" wrapText="1"/>
    </xf>
    <xf numFmtId="171" fontId="3" fillId="8" borderId="1" xfId="1" applyFont="1" applyFill="1" applyBorder="1" applyAlignment="1">
      <alignment horizontal="center" vertical="center"/>
    </xf>
    <xf numFmtId="171" fontId="3" fillId="0" borderId="1" xfId="1" applyFont="1" applyBorder="1" applyAlignment="1">
      <alignment horizontal="justify" vertical="center" wrapText="1"/>
    </xf>
    <xf numFmtId="171" fontId="3" fillId="0" borderId="13" xfId="1" applyFont="1" applyBorder="1" applyAlignment="1">
      <alignment horizontal="justify" vertical="center"/>
    </xf>
    <xf numFmtId="171" fontId="3" fillId="0" borderId="13" xfId="1" applyFont="1" applyBorder="1" applyAlignment="1">
      <alignment horizontal="center" vertical="center"/>
    </xf>
    <xf numFmtId="171" fontId="3" fillId="7" borderId="2" xfId="1" applyFont="1" applyFill="1" applyBorder="1" applyAlignment="1">
      <alignment horizontal="justify" vertical="center"/>
    </xf>
    <xf numFmtId="171" fontId="3" fillId="4" borderId="2" xfId="1" applyFont="1" applyFill="1" applyBorder="1" applyAlignment="1">
      <alignment horizontal="justify" vertical="center"/>
    </xf>
    <xf numFmtId="171" fontId="1" fillId="3" borderId="4" xfId="1" applyFont="1" applyFill="1" applyBorder="1" applyAlignment="1">
      <alignment horizontal="left" vertical="center"/>
    </xf>
    <xf numFmtId="171" fontId="1" fillId="3" borderId="4" xfId="1" applyFont="1" applyFill="1" applyBorder="1" applyAlignment="1">
      <alignment horizontal="center" vertical="center"/>
    </xf>
    <xf numFmtId="171" fontId="1" fillId="3" borderId="4" xfId="1" applyFont="1" applyFill="1" applyBorder="1" applyAlignment="1">
      <alignment vertical="center"/>
    </xf>
    <xf numFmtId="171" fontId="1" fillId="3" borderId="12" xfId="1" applyFont="1" applyFill="1" applyBorder="1" applyAlignment="1">
      <alignment horizontal="left" vertical="center"/>
    </xf>
    <xf numFmtId="171" fontId="3" fillId="7" borderId="1" xfId="1" applyFont="1" applyFill="1" applyBorder="1" applyAlignment="1">
      <alignment horizontal="center" vertical="center"/>
    </xf>
    <xf numFmtId="171" fontId="3" fillId="4" borderId="1" xfId="1" applyFont="1" applyFill="1" applyBorder="1" applyAlignment="1">
      <alignment horizontal="center" vertical="center"/>
    </xf>
    <xf numFmtId="171" fontId="3" fillId="5" borderId="1" xfId="1" applyFont="1" applyFill="1" applyBorder="1" applyAlignment="1">
      <alignment horizontal="center" vertical="center"/>
    </xf>
    <xf numFmtId="171" fontId="7" fillId="0" borderId="1" xfId="1" applyFont="1" applyBorder="1" applyAlignment="1">
      <alignment horizontal="justify" vertical="center"/>
    </xf>
    <xf numFmtId="171" fontId="3" fillId="0" borderId="14" xfId="1" applyFont="1" applyBorder="1" applyAlignment="1">
      <alignment horizontal="justify" vertical="center"/>
    </xf>
    <xf numFmtId="171" fontId="3" fillId="11" borderId="1" xfId="1" applyFont="1" applyFill="1" applyBorder="1" applyAlignment="1">
      <alignment horizontal="justify" vertical="center"/>
    </xf>
    <xf numFmtId="171" fontId="7" fillId="0" borderId="3" xfId="1" applyFont="1" applyBorder="1" applyAlignment="1">
      <alignment horizontal="justify" vertical="center"/>
    </xf>
    <xf numFmtId="171" fontId="3" fillId="2" borderId="3" xfId="1" applyFont="1" applyFill="1" applyBorder="1" applyAlignment="1">
      <alignment horizontal="justify" vertical="center"/>
    </xf>
    <xf numFmtId="171" fontId="3" fillId="0" borderId="6" xfId="1" applyFont="1" applyBorder="1" applyAlignment="1">
      <alignment horizontal="justify" vertical="center"/>
    </xf>
    <xf numFmtId="171" fontId="3" fillId="0" borderId="6" xfId="1" applyFont="1" applyBorder="1" applyAlignment="1">
      <alignment horizontal="center" vertical="center"/>
    </xf>
    <xf numFmtId="171" fontId="3" fillId="0" borderId="6" xfId="1" applyFont="1" applyBorder="1" applyAlignment="1">
      <alignment vertical="center"/>
    </xf>
    <xf numFmtId="171" fontId="7" fillId="0" borderId="1" xfId="1" applyFont="1" applyBorder="1" applyAlignment="1">
      <alignment vertical="center"/>
    </xf>
    <xf numFmtId="171" fontId="8" fillId="0" borderId="1" xfId="1" applyFont="1" applyBorder="1" applyAlignment="1">
      <alignment horizontal="justify" vertical="center"/>
    </xf>
    <xf numFmtId="171" fontId="7" fillId="9" borderId="6" xfId="1" applyFont="1" applyFill="1" applyBorder="1" applyAlignment="1">
      <alignment horizontal="justify" vertical="center"/>
    </xf>
    <xf numFmtId="171" fontId="7" fillId="9" borderId="3" xfId="1" applyFont="1" applyFill="1" applyBorder="1" applyAlignment="1">
      <alignment horizontal="justify" vertical="center"/>
    </xf>
    <xf numFmtId="171" fontId="3" fillId="9" borderId="10" xfId="1" applyFont="1" applyFill="1" applyBorder="1" applyAlignment="1">
      <alignment horizontal="justify" vertical="center"/>
    </xf>
    <xf numFmtId="171" fontId="3" fillId="0" borderId="8" xfId="1" applyFont="1" applyBorder="1" applyAlignment="1">
      <alignment horizontal="justify" vertical="center"/>
    </xf>
    <xf numFmtId="171" fontId="3" fillId="2" borderId="9" xfId="1" applyFont="1" applyFill="1" applyBorder="1" applyAlignment="1">
      <alignment horizontal="justify" vertical="center"/>
    </xf>
    <xf numFmtId="171" fontId="3" fillId="0" borderId="3" xfId="1" applyFont="1" applyBorder="1" applyAlignment="1">
      <alignment horizontal="justify" vertical="center" wrapText="1"/>
    </xf>
    <xf numFmtId="171" fontId="3" fillId="2" borderId="1" xfId="1" applyFont="1" applyFill="1" applyBorder="1" applyAlignment="1">
      <alignment horizontal="right" vertical="center" wrapText="1"/>
    </xf>
    <xf numFmtId="171" fontId="7" fillId="0" borderId="1" xfId="1" applyFont="1" applyBorder="1" applyAlignment="1">
      <alignment horizontal="right" vertical="center"/>
    </xf>
    <xf numFmtId="171" fontId="3" fillId="2" borderId="1" xfId="1" applyFont="1" applyFill="1" applyBorder="1" applyAlignment="1">
      <alignment horizontal="center" vertical="center" wrapText="1"/>
    </xf>
    <xf numFmtId="171" fontId="3" fillId="2" borderId="1" xfId="1" applyFont="1" applyFill="1" applyBorder="1" applyAlignment="1">
      <alignment vertical="center" wrapText="1"/>
    </xf>
    <xf numFmtId="171" fontId="7" fillId="0" borderId="1" xfId="1" applyFont="1" applyBorder="1" applyAlignment="1">
      <alignment horizontal="left" vertical="center" wrapText="1"/>
    </xf>
    <xf numFmtId="171" fontId="3" fillId="0" borderId="1" xfId="1" applyFont="1" applyBorder="1" applyAlignment="1">
      <alignment horizontal="left" vertical="center" wrapText="1"/>
    </xf>
    <xf numFmtId="171" fontId="3" fillId="7" borderId="1" xfId="1" applyFont="1" applyFill="1" applyBorder="1" applyAlignment="1">
      <alignment horizontal="right" vertical="center" wrapText="1"/>
    </xf>
    <xf numFmtId="171" fontId="1" fillId="2" borderId="4" xfId="1" applyFont="1" applyFill="1" applyBorder="1" applyAlignment="1">
      <alignment horizontal="left" vertical="center"/>
    </xf>
    <xf numFmtId="171" fontId="1" fillId="2" borderId="1" xfId="1" applyFont="1" applyFill="1" applyBorder="1" applyAlignment="1">
      <alignment vertical="center"/>
    </xf>
    <xf numFmtId="171" fontId="1" fillId="7" borderId="1" xfId="1" applyFont="1" applyFill="1" applyBorder="1" applyAlignment="1">
      <alignment vertical="center"/>
    </xf>
    <xf numFmtId="171" fontId="1" fillId="10" borderId="1" xfId="1" applyFont="1" applyFill="1" applyBorder="1" applyAlignment="1">
      <alignment horizontal="justify" vertical="center"/>
    </xf>
    <xf numFmtId="171" fontId="3" fillId="2" borderId="1" xfId="1" applyFont="1" applyFill="1" applyBorder="1" applyAlignment="1">
      <alignment vertical="center"/>
    </xf>
    <xf numFmtId="171" fontId="1" fillId="3" borderId="10" xfId="1" applyFont="1" applyFill="1" applyBorder="1" applyAlignment="1">
      <alignment horizontal="left" vertical="center"/>
    </xf>
    <xf numFmtId="171" fontId="1" fillId="3" borderId="10" xfId="1" applyFont="1" applyFill="1" applyBorder="1" applyAlignment="1">
      <alignment horizontal="center" vertical="center"/>
    </xf>
    <xf numFmtId="171" fontId="1" fillId="3" borderId="10" xfId="1" applyFont="1" applyFill="1" applyBorder="1" applyAlignment="1">
      <alignment vertical="center"/>
    </xf>
    <xf numFmtId="171" fontId="1" fillId="3" borderId="9" xfId="1" applyFont="1" applyFill="1" applyBorder="1" applyAlignment="1">
      <alignment horizontal="left" vertical="center"/>
    </xf>
    <xf numFmtId="171" fontId="1" fillId="4" borderId="4" xfId="1" applyFont="1" applyFill="1" applyBorder="1" applyAlignment="1">
      <alignment vertical="center" wrapText="1"/>
    </xf>
    <xf numFmtId="171" fontId="1" fillId="4" borderId="4" xfId="1" applyFont="1" applyFill="1" applyBorder="1" applyAlignment="1">
      <alignment horizontal="center" vertical="center" wrapText="1"/>
    </xf>
    <xf numFmtId="171" fontId="1" fillId="7" borderId="4" xfId="1" applyFont="1" applyFill="1" applyBorder="1" applyAlignment="1">
      <alignment vertical="center" wrapText="1"/>
    </xf>
    <xf numFmtId="171" fontId="1" fillId="7" borderId="4" xfId="1" applyFont="1" applyFill="1" applyBorder="1" applyAlignment="1">
      <alignment horizontal="center" vertical="center" wrapText="1"/>
    </xf>
    <xf numFmtId="171" fontId="1" fillId="7" borderId="1" xfId="1" applyFont="1" applyFill="1" applyBorder="1" applyAlignment="1">
      <alignment vertical="center" wrapText="1"/>
    </xf>
    <xf numFmtId="171" fontId="3" fillId="0" borderId="17" xfId="1" applyFont="1" applyBorder="1" applyAlignment="1">
      <alignment horizontal="center" vertical="center" wrapText="1"/>
    </xf>
    <xf numFmtId="171" fontId="3" fillId="0" borderId="2" xfId="1" applyFont="1" applyBorder="1" applyAlignment="1">
      <alignment horizontal="center" vertical="center" wrapText="1"/>
    </xf>
    <xf numFmtId="171" fontId="1" fillId="0" borderId="1" xfId="1" applyFont="1" applyBorder="1" applyAlignment="1">
      <alignment vertical="center" wrapText="1"/>
    </xf>
    <xf numFmtId="0" fontId="1" fillId="2" borderId="12" xfId="0" applyFont="1" applyFill="1" applyBorder="1" applyAlignment="1">
      <alignment horizontal="left" vertical="center"/>
    </xf>
    <xf numFmtId="0" fontId="1" fillId="0" borderId="13" xfId="0" applyFont="1" applyBorder="1" applyAlignment="1">
      <alignment vertical="center"/>
    </xf>
    <xf numFmtId="0" fontId="3" fillId="0" borderId="14" xfId="0" applyFont="1" applyBorder="1" applyAlignment="1">
      <alignment horizontal="center" vertical="center" wrapText="1"/>
    </xf>
    <xf numFmtId="0" fontId="1" fillId="8" borderId="1" xfId="0" applyFont="1" applyFill="1" applyBorder="1" applyAlignment="1">
      <alignment horizontal="justify"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justify" vertical="center"/>
    </xf>
    <xf numFmtId="0" fontId="1" fillId="0" borderId="2" xfId="0" applyFont="1" applyBorder="1" applyAlignment="1">
      <alignment horizontal="center" vertical="center"/>
    </xf>
    <xf numFmtId="0" fontId="3" fillId="0" borderId="2" xfId="0" applyFont="1" applyBorder="1" applyAlignment="1">
      <alignment horizontal="center" vertical="top" wrapText="1"/>
    </xf>
    <xf numFmtId="0" fontId="3" fillId="0" borderId="2" xfId="0" applyFont="1" applyBorder="1" applyAlignment="1">
      <alignment horizontal="justify" vertical="top" wrapText="1"/>
    </xf>
    <xf numFmtId="2" fontId="3" fillId="0" borderId="2" xfId="0" applyNumberFormat="1" applyFont="1" applyBorder="1" applyAlignment="1">
      <alignment horizontal="center" vertical="center" wrapText="1"/>
    </xf>
    <xf numFmtId="171" fontId="3" fillId="0" borderId="2" xfId="2" applyFont="1" applyBorder="1" applyAlignment="1">
      <alignment horizontal="center" vertical="center"/>
    </xf>
    <xf numFmtId="173" fontId="3" fillId="0" borderId="2" xfId="4" applyNumberFormat="1" applyFont="1" applyBorder="1" applyAlignment="1">
      <alignment horizontal="center" vertical="center"/>
    </xf>
    <xf numFmtId="10" fontId="3" fillId="0" borderId="2" xfId="0" applyNumberFormat="1" applyFont="1" applyBorder="1" applyAlignment="1">
      <alignment vertical="center" wrapText="1"/>
    </xf>
    <xf numFmtId="9" fontId="3" fillId="0" borderId="6" xfId="0" applyNumberFormat="1" applyFont="1" applyBorder="1" applyAlignment="1">
      <alignment vertical="center" wrapText="1"/>
    </xf>
    <xf numFmtId="49" fontId="3" fillId="6" borderId="9"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2" xfId="0" applyFont="1" applyFill="1" applyBorder="1" applyAlignment="1">
      <alignment horizontal="center" vertical="center" wrapText="1"/>
    </xf>
    <xf numFmtId="9" fontId="3" fillId="0" borderId="2" xfId="4" applyFont="1" applyBorder="1" applyAlignment="1">
      <alignment horizontal="center" vertical="center" wrapText="1"/>
    </xf>
    <xf numFmtId="1" fontId="1" fillId="0" borderId="4" xfId="0" applyNumberFormat="1" applyFont="1" applyBorder="1" applyAlignment="1">
      <alignment vertical="center"/>
    </xf>
    <xf numFmtId="171" fontId="1" fillId="0" borderId="4" xfId="1" applyFont="1" applyBorder="1" applyAlignment="1">
      <alignment vertical="center"/>
    </xf>
    <xf numFmtId="171" fontId="1" fillId="0" borderId="4" xfId="1" applyFont="1" applyBorder="1" applyAlignment="1">
      <alignment horizontal="center" vertical="center"/>
    </xf>
    <xf numFmtId="0" fontId="3" fillId="5" borderId="2" xfId="0" applyFont="1" applyFill="1" applyBorder="1" applyAlignment="1">
      <alignment horizontal="justify" vertical="center" wrapText="1"/>
    </xf>
    <xf numFmtId="0" fontId="3" fillId="5" borderId="2" xfId="0" applyFont="1" applyFill="1" applyBorder="1" applyAlignment="1">
      <alignment horizontal="center" vertical="center" wrapText="1"/>
    </xf>
    <xf numFmtId="0" fontId="3" fillId="5" borderId="11" xfId="0" applyFont="1" applyFill="1" applyBorder="1" applyAlignment="1">
      <alignment horizontal="justify" vertical="center" wrapText="1"/>
    </xf>
    <xf numFmtId="1" fontId="3" fillId="5" borderId="2" xfId="0" applyNumberFormat="1" applyFont="1" applyFill="1" applyBorder="1" applyAlignment="1">
      <alignment horizontal="center" vertical="center" wrapText="1"/>
    </xf>
    <xf numFmtId="171" fontId="3" fillId="5" borderId="2" xfId="1" applyFont="1" applyFill="1" applyBorder="1" applyAlignment="1">
      <alignment horizontal="justify" vertical="center"/>
    </xf>
    <xf numFmtId="0" fontId="3" fillId="9" borderId="3" xfId="0" applyFont="1" applyFill="1" applyBorder="1" applyAlignment="1">
      <alignment horizontal="justify" vertical="center" wrapText="1"/>
    </xf>
    <xf numFmtId="0" fontId="3" fillId="9" borderId="4" xfId="0" applyFont="1" applyFill="1" applyBorder="1" applyAlignment="1">
      <alignment horizontal="justify" vertical="center" wrapText="1"/>
    </xf>
    <xf numFmtId="0" fontId="3" fillId="9" borderId="4" xfId="0" applyFont="1" applyFill="1" applyBorder="1" applyAlignment="1">
      <alignment horizontal="center" vertical="center" wrapText="1"/>
    </xf>
    <xf numFmtId="1" fontId="3" fillId="9" borderId="4" xfId="0" applyNumberFormat="1" applyFont="1" applyFill="1" applyBorder="1" applyAlignment="1">
      <alignment horizontal="center" vertical="center" wrapText="1"/>
    </xf>
    <xf numFmtId="171" fontId="3" fillId="9" borderId="4" xfId="1" applyFont="1" applyFill="1" applyBorder="1" applyAlignment="1">
      <alignment horizontal="center" vertical="center"/>
    </xf>
    <xf numFmtId="0" fontId="3" fillId="5" borderId="2" xfId="0" applyFont="1" applyFill="1" applyBorder="1" applyAlignment="1">
      <alignment horizontal="center" vertical="center"/>
    </xf>
    <xf numFmtId="1" fontId="3" fillId="5" borderId="2" xfId="0" applyNumberFormat="1" applyFont="1" applyFill="1" applyBorder="1" applyAlignment="1">
      <alignment horizontal="center" vertical="center"/>
    </xf>
    <xf numFmtId="171" fontId="7" fillId="0" borderId="9" xfId="1" applyFont="1" applyBorder="1" applyAlignment="1">
      <alignment horizontal="center" vertical="center" wrapText="1"/>
    </xf>
    <xf numFmtId="171" fontId="7" fillId="0" borderId="15" xfId="1" applyFont="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vertical="center"/>
    </xf>
    <xf numFmtId="2" fontId="1" fillId="2" borderId="1" xfId="0" applyNumberFormat="1" applyFont="1" applyFill="1" applyBorder="1" applyAlignment="1">
      <alignment vertical="center"/>
    </xf>
    <xf numFmtId="0" fontId="1" fillId="2" borderId="1" xfId="0" applyFont="1" applyFill="1" applyBorder="1" applyAlignment="1">
      <alignment horizontal="center" vertical="center"/>
    </xf>
    <xf numFmtId="2" fontId="1" fillId="7" borderId="1" xfId="0" applyNumberFormat="1" applyFont="1" applyFill="1" applyBorder="1" applyAlignment="1">
      <alignment vertical="center"/>
    </xf>
    <xf numFmtId="171" fontId="1" fillId="7" borderId="1" xfId="1"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6" xfId="0" applyFont="1" applyFill="1" applyBorder="1" applyAlignment="1">
      <alignment horizontal="justify" vertical="center" wrapText="1"/>
    </xf>
    <xf numFmtId="0" fontId="3" fillId="0" borderId="14" xfId="0" applyFont="1" applyBorder="1" applyAlignment="1">
      <alignment horizontal="justify" vertical="center" wrapText="1"/>
    </xf>
    <xf numFmtId="0" fontId="3" fillId="4" borderId="9"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171" fontId="3" fillId="4" borderId="9" xfId="1" applyFont="1" applyFill="1" applyBorder="1" applyAlignment="1">
      <alignment horizontal="justify" vertical="center"/>
    </xf>
    <xf numFmtId="0" fontId="3" fillId="4" borderId="1" xfId="0" applyFont="1" applyFill="1" applyBorder="1" applyAlignment="1">
      <alignment horizontal="left" vertical="center" wrapText="1"/>
    </xf>
    <xf numFmtId="4" fontId="3" fillId="4" borderId="1" xfId="0" applyNumberFormat="1" applyFont="1" applyFill="1" applyBorder="1" applyAlignment="1">
      <alignment vertical="center" wrapText="1"/>
    </xf>
    <xf numFmtId="171" fontId="3" fillId="4" borderId="1" xfId="1" applyFont="1" applyFill="1" applyBorder="1" applyAlignment="1">
      <alignment vertical="center" wrapText="1"/>
    </xf>
    <xf numFmtId="0" fontId="3" fillId="0" borderId="14" xfId="0" applyFont="1" applyBorder="1" applyAlignment="1">
      <alignment vertical="center" wrapText="1"/>
    </xf>
    <xf numFmtId="171" fontId="3" fillId="2" borderId="5" xfId="1" applyFont="1" applyFill="1" applyBorder="1" applyAlignment="1">
      <alignment vertical="center"/>
    </xf>
    <xf numFmtId="0" fontId="3" fillId="2" borderId="9" xfId="0" applyFont="1" applyFill="1" applyBorder="1" applyAlignment="1">
      <alignment horizontal="justify" vertical="center"/>
    </xf>
    <xf numFmtId="3" fontId="3" fillId="0" borderId="9" xfId="0" applyNumberFormat="1" applyFont="1" applyBorder="1" applyAlignment="1">
      <alignment horizontal="center" vertical="center" wrapText="1"/>
    </xf>
    <xf numFmtId="0" fontId="3" fillId="7" borderId="14" xfId="0" applyFont="1" applyFill="1" applyBorder="1" applyAlignment="1">
      <alignment horizontal="center" vertical="center" wrapText="1"/>
    </xf>
    <xf numFmtId="171" fontId="1" fillId="3" borderId="5" xfId="1" applyFont="1" applyFill="1" applyBorder="1" applyAlignment="1">
      <alignment horizontal="left" vertical="center"/>
    </xf>
    <xf numFmtId="171" fontId="1" fillId="3" borderId="5" xfId="1" applyFont="1" applyFill="1" applyBorder="1" applyAlignment="1">
      <alignment horizontal="center" vertical="center"/>
    </xf>
    <xf numFmtId="171" fontId="1" fillId="3" borderId="5" xfId="1" applyFont="1" applyFill="1" applyBorder="1" applyAlignment="1">
      <alignment vertical="center"/>
    </xf>
    <xf numFmtId="171" fontId="1" fillId="3" borderId="11" xfId="1" applyFont="1" applyFill="1" applyBorder="1" applyAlignment="1">
      <alignment horizontal="left" vertical="center"/>
    </xf>
    <xf numFmtId="171" fontId="3" fillId="0" borderId="5" xfId="1" applyFont="1" applyBorder="1" applyAlignment="1">
      <alignment horizontal="justify" vertical="center"/>
    </xf>
    <xf numFmtId="171" fontId="3" fillId="9" borderId="5" xfId="1" applyFont="1" applyFill="1" applyBorder="1" applyAlignment="1">
      <alignment horizontal="justify" vertical="center"/>
    </xf>
    <xf numFmtId="171" fontId="3" fillId="0" borderId="5" xfId="1" applyFont="1" applyBorder="1" applyAlignment="1">
      <alignment vertical="center"/>
    </xf>
    <xf numFmtId="171" fontId="1" fillId="3" borderId="1" xfId="1" applyFont="1" applyFill="1" applyBorder="1" applyAlignment="1">
      <alignment horizontal="center" vertical="center"/>
    </xf>
    <xf numFmtId="171" fontId="1" fillId="3" borderId="4" xfId="1" applyFont="1" applyFill="1" applyBorder="1" applyAlignment="1">
      <alignment horizontal="left" vertical="center" wrapText="1"/>
    </xf>
    <xf numFmtId="171" fontId="1" fillId="3" borderId="4" xfId="1" applyFont="1" applyFill="1" applyBorder="1" applyAlignment="1">
      <alignment horizontal="center" vertical="center" wrapText="1"/>
    </xf>
    <xf numFmtId="171" fontId="1" fillId="3" borderId="4" xfId="1" applyFont="1" applyFill="1" applyBorder="1" applyAlignment="1">
      <alignment vertical="center" wrapText="1"/>
    </xf>
    <xf numFmtId="171" fontId="1" fillId="3" borderId="12" xfId="1" applyFont="1" applyFill="1" applyBorder="1" applyAlignment="1">
      <alignment horizontal="left" vertical="center" wrapText="1"/>
    </xf>
    <xf numFmtId="171" fontId="3" fillId="0" borderId="7" xfId="1" applyFont="1" applyBorder="1" applyAlignment="1">
      <alignment horizontal="justify" vertical="center"/>
    </xf>
    <xf numFmtId="171" fontId="1" fillId="4" borderId="1" xfId="1" applyFont="1" applyFill="1" applyBorder="1" applyAlignment="1">
      <alignment vertical="center"/>
    </xf>
    <xf numFmtId="0" fontId="3" fillId="0" borderId="0" xfId="0" applyFont="1" applyAlignment="1">
      <alignment vertical="center"/>
    </xf>
    <xf numFmtId="39" fontId="3" fillId="0" borderId="1" xfId="1" applyNumberFormat="1" applyFont="1" applyBorder="1" applyAlignment="1">
      <alignment horizontal="right" vertical="center"/>
    </xf>
    <xf numFmtId="39" fontId="3" fillId="2" borderId="1" xfId="1" applyNumberFormat="1" applyFont="1" applyFill="1" applyBorder="1" applyAlignment="1">
      <alignment horizontal="right" vertical="center"/>
    </xf>
    <xf numFmtId="39" fontId="3" fillId="0" borderId="4" xfId="1" applyNumberFormat="1" applyFont="1" applyBorder="1" applyAlignment="1">
      <alignment horizontal="right" vertical="center"/>
    </xf>
    <xf numFmtId="4" fontId="3" fillId="2" borderId="1" xfId="1" applyNumberFormat="1" applyFont="1" applyFill="1" applyBorder="1" applyAlignment="1">
      <alignment horizontal="right" vertical="center"/>
    </xf>
    <xf numFmtId="0" fontId="3" fillId="0" borderId="0" xfId="0" applyFont="1"/>
    <xf numFmtId="171" fontId="3" fillId="0" borderId="1" xfId="1" applyFont="1" applyFill="1" applyBorder="1" applyAlignment="1">
      <alignment vertical="center"/>
    </xf>
    <xf numFmtId="171" fontId="3" fillId="0" borderId="1" xfId="1" applyFont="1" applyFill="1" applyBorder="1" applyAlignment="1">
      <alignment horizontal="center" vertical="center" wrapText="1"/>
    </xf>
    <xf numFmtId="171" fontId="3" fillId="0" borderId="1" xfId="1" applyFont="1" applyFill="1" applyBorder="1" applyAlignment="1">
      <alignment horizontal="justify" vertical="center"/>
    </xf>
    <xf numFmtId="171" fontId="3" fillId="0" borderId="9" xfId="1" applyFont="1" applyFill="1" applyBorder="1" applyAlignment="1">
      <alignment horizontal="justify"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171" fontId="3" fillId="0" borderId="1" xfId="1" applyFont="1" applyFill="1" applyBorder="1" applyAlignment="1">
      <alignment horizontal="right" vertical="center" wrapText="1"/>
    </xf>
    <xf numFmtId="171" fontId="9" fillId="0" borderId="1" xfId="1" applyFont="1" applyFill="1" applyBorder="1" applyAlignment="1">
      <alignment horizontal="right" vertical="center" wrapText="1"/>
    </xf>
    <xf numFmtId="171" fontId="3" fillId="0" borderId="3" xfId="1" applyFont="1" applyFill="1" applyBorder="1" applyAlignment="1">
      <alignment horizontal="justify" vertical="center"/>
    </xf>
    <xf numFmtId="171" fontId="3" fillId="0" borderId="1" xfId="1" applyFont="1" applyFill="1" applyBorder="1" applyAlignment="1">
      <alignment horizontal="center" vertical="center"/>
    </xf>
    <xf numFmtId="171" fontId="3" fillId="0" borderId="3" xfId="1"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172" fontId="1" fillId="0" borderId="1" xfId="0" applyNumberFormat="1" applyFont="1" applyBorder="1" applyAlignment="1">
      <alignment horizontal="left" vertical="center"/>
    </xf>
    <xf numFmtId="17" fontId="1" fillId="0" borderId="1" xfId="0" applyNumberFormat="1" applyFont="1" applyBorder="1" applyAlignment="1">
      <alignment horizontal="left" vertical="center"/>
    </xf>
    <xf numFmtId="0" fontId="3" fillId="0" borderId="10" xfId="0" applyFont="1" applyBorder="1"/>
    <xf numFmtId="3" fontId="1" fillId="6" borderId="1"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9" borderId="0" xfId="0" applyFont="1" applyFill="1" applyAlignment="1">
      <alignment vertical="center"/>
    </xf>
    <xf numFmtId="0" fontId="3" fillId="0" borderId="0" xfId="0" applyFont="1" applyAlignment="1">
      <alignment horizontal="left" vertical="center" wrapText="1"/>
    </xf>
    <xf numFmtId="0" fontId="1" fillId="0" borderId="0" xfId="0" applyFont="1" applyAlignment="1">
      <alignment horizontal="right" vertical="center"/>
    </xf>
    <xf numFmtId="0" fontId="3" fillId="0" borderId="0" xfId="0" applyFont="1" applyAlignment="1">
      <alignment horizontal="right"/>
    </xf>
    <xf numFmtId="0" fontId="3" fillId="9" borderId="0" xfId="0" applyFont="1" applyFill="1"/>
    <xf numFmtId="0" fontId="3" fillId="9" borderId="1" xfId="0" applyFont="1" applyFill="1" applyBorder="1"/>
    <xf numFmtId="0" fontId="3" fillId="9" borderId="12" xfId="0" applyFont="1" applyFill="1" applyBorder="1"/>
    <xf numFmtId="171" fontId="7" fillId="0" borderId="1" xfId="1" applyFont="1" applyFill="1" applyBorder="1" applyAlignment="1">
      <alignment horizontal="center" vertical="center" wrapText="1"/>
    </xf>
    <xf numFmtId="0" fontId="1" fillId="0" borderId="0" xfId="0" applyFont="1"/>
    <xf numFmtId="1" fontId="3" fillId="9" borderId="0" xfId="0" applyNumberFormat="1" applyFont="1" applyFill="1"/>
    <xf numFmtId="174" fontId="3" fillId="9" borderId="0" xfId="1" applyNumberFormat="1" applyFont="1" applyFill="1" applyAlignment="1">
      <alignment horizontal="center"/>
    </xf>
    <xf numFmtId="173" fontId="3" fillId="9" borderId="0" xfId="0" applyNumberFormat="1" applyFont="1" applyFill="1"/>
    <xf numFmtId="171" fontId="3" fillId="9" borderId="0" xfId="0" applyNumberFormat="1" applyFont="1" applyFill="1"/>
    <xf numFmtId="171" fontId="3" fillId="9" borderId="0" xfId="0" applyNumberFormat="1" applyFont="1" applyFill="1" applyAlignment="1">
      <alignment vertical="center"/>
    </xf>
    <xf numFmtId="0" fontId="3" fillId="12" borderId="0" xfId="0" applyFont="1" applyFill="1"/>
    <xf numFmtId="174" fontId="3" fillId="0" borderId="0" xfId="1" applyNumberFormat="1" applyFont="1" applyAlignment="1">
      <alignment horizontal="center"/>
    </xf>
    <xf numFmtId="0" fontId="3" fillId="0" borderId="0" xfId="0" applyFont="1" applyBorder="1"/>
    <xf numFmtId="171" fontId="7" fillId="0" borderId="1" xfId="1" applyFont="1" applyFill="1" applyBorder="1" applyAlignment="1">
      <alignment horizontal="center" vertical="center"/>
    </xf>
    <xf numFmtId="171" fontId="3" fillId="0" borderId="2" xfId="1" applyFont="1" applyFill="1" applyBorder="1" applyAlignment="1">
      <alignment horizontal="justify" vertical="center"/>
    </xf>
    <xf numFmtId="0" fontId="1" fillId="3" borderId="4" xfId="0" applyFont="1" applyFill="1" applyBorder="1" applyAlignment="1">
      <alignment horizontal="justify" vertical="center"/>
    </xf>
    <xf numFmtId="0" fontId="1" fillId="4" borderId="4" xfId="0" applyFont="1" applyFill="1" applyBorder="1" applyAlignment="1">
      <alignment horizontal="justify" vertical="center"/>
    </xf>
    <xf numFmtId="0" fontId="1" fillId="7" borderId="4" xfId="0" applyFont="1" applyFill="1" applyBorder="1" applyAlignment="1">
      <alignment horizontal="justify" vertical="center"/>
    </xf>
    <xf numFmtId="0" fontId="1" fillId="2" borderId="12" xfId="0" applyFont="1" applyFill="1" applyBorder="1" applyAlignment="1">
      <alignment horizontal="justify" vertical="center"/>
    </xf>
    <xf numFmtId="0" fontId="1" fillId="2" borderId="4" xfId="0" applyFont="1" applyFill="1" applyBorder="1" applyAlignment="1">
      <alignment horizontal="justify" vertical="center"/>
    </xf>
    <xf numFmtId="0" fontId="1" fillId="8" borderId="4" xfId="0" applyFont="1" applyFill="1" applyBorder="1" applyAlignment="1">
      <alignment horizontal="justify" vertical="center"/>
    </xf>
    <xf numFmtId="0" fontId="1" fillId="3" borderId="5" xfId="0" applyFont="1" applyFill="1" applyBorder="1" applyAlignment="1">
      <alignment horizontal="justify" vertical="center"/>
    </xf>
    <xf numFmtId="0" fontId="1" fillId="2" borderId="5" xfId="0" applyFont="1" applyFill="1" applyBorder="1" applyAlignment="1">
      <alignment horizontal="justify" vertical="center"/>
    </xf>
    <xf numFmtId="0" fontId="3" fillId="0" borderId="5" xfId="0" applyFont="1" applyBorder="1" applyAlignment="1">
      <alignment horizontal="justify" vertical="center"/>
    </xf>
    <xf numFmtId="0" fontId="3" fillId="2" borderId="1" xfId="2" applyNumberFormat="1" applyFont="1" applyFill="1" applyBorder="1" applyAlignment="1">
      <alignment horizontal="justify" vertical="center"/>
    </xf>
    <xf numFmtId="0" fontId="3" fillId="0" borderId="5" xfId="2" applyNumberFormat="1" applyFont="1" applyBorder="1" applyAlignment="1">
      <alignment horizontal="justify" vertical="center"/>
    </xf>
    <xf numFmtId="0" fontId="1" fillId="7" borderId="5" xfId="0" applyFont="1" applyFill="1" applyBorder="1" applyAlignment="1">
      <alignment horizontal="justify" vertical="center"/>
    </xf>
    <xf numFmtId="0" fontId="3" fillId="4" borderId="9" xfId="0" applyFont="1" applyFill="1" applyBorder="1" applyAlignment="1">
      <alignment horizontal="justify" vertical="center"/>
    </xf>
    <xf numFmtId="0" fontId="1" fillId="3" borderId="4" xfId="0" applyFont="1" applyFill="1" applyBorder="1" applyAlignment="1">
      <alignment horizontal="justify" vertical="center" wrapText="1"/>
    </xf>
    <xf numFmtId="0" fontId="3" fillId="8" borderId="9" xfId="0" applyFont="1" applyFill="1" applyBorder="1" applyAlignment="1">
      <alignment horizontal="justify" vertical="center" wrapText="1"/>
    </xf>
    <xf numFmtId="3" fontId="3" fillId="0" borderId="5" xfId="0" applyNumberFormat="1" applyFont="1" applyBorder="1" applyAlignment="1">
      <alignment horizontal="justify" vertical="center" wrapText="1"/>
    </xf>
    <xf numFmtId="3" fontId="3" fillId="0" borderId="4" xfId="0" applyNumberFormat="1" applyFont="1" applyBorder="1" applyAlignment="1">
      <alignment horizontal="justify" vertical="center" wrapText="1"/>
    </xf>
    <xf numFmtId="3" fontId="3" fillId="0" borderId="1" xfId="0" applyNumberFormat="1" applyFont="1" applyBorder="1" applyAlignment="1">
      <alignment horizontal="justify" vertical="center" wrapText="1"/>
    </xf>
    <xf numFmtId="3" fontId="3" fillId="7" borderId="1" xfId="0" applyNumberFormat="1" applyFont="1" applyFill="1" applyBorder="1" applyAlignment="1">
      <alignment horizontal="justify" vertical="center" wrapText="1"/>
    </xf>
    <xf numFmtId="3" fontId="3" fillId="2" borderId="1" xfId="0" applyNumberFormat="1" applyFont="1" applyFill="1" applyBorder="1" applyAlignment="1">
      <alignment horizontal="justify" vertical="center"/>
    </xf>
    <xf numFmtId="3" fontId="3" fillId="2" borderId="9" xfId="0" applyNumberFormat="1" applyFont="1" applyFill="1" applyBorder="1" applyAlignment="1">
      <alignment horizontal="justify" vertical="center"/>
    </xf>
    <xf numFmtId="3" fontId="3" fillId="7" borderId="1" xfId="0" applyNumberFormat="1" applyFont="1" applyFill="1" applyBorder="1" applyAlignment="1">
      <alignment horizontal="justify" vertical="center"/>
    </xf>
    <xf numFmtId="0" fontId="3" fillId="0" borderId="1" xfId="2" applyNumberFormat="1" applyFont="1" applyBorder="1" applyAlignment="1">
      <alignment horizontal="justify" vertical="center" wrapText="1"/>
    </xf>
    <xf numFmtId="9" fontId="3" fillId="2" borderId="1" xfId="4" applyFont="1" applyFill="1" applyBorder="1" applyAlignment="1">
      <alignment horizontal="justify" vertical="center" wrapText="1"/>
    </xf>
    <xf numFmtId="3" fontId="3" fillId="4" borderId="1" xfId="0" applyNumberFormat="1" applyFont="1" applyFill="1" applyBorder="1" applyAlignment="1">
      <alignment horizontal="justify" vertical="center" wrapText="1"/>
    </xf>
    <xf numFmtId="0" fontId="3" fillId="2" borderId="1" xfId="2" applyNumberFormat="1" applyFont="1" applyFill="1" applyBorder="1" applyAlignment="1">
      <alignment horizontal="justify" vertical="center" wrapText="1"/>
    </xf>
    <xf numFmtId="1" fontId="3" fillId="0" borderId="1" xfId="0" applyNumberFormat="1" applyFont="1" applyBorder="1" applyAlignment="1">
      <alignment horizontal="justify" vertical="center" wrapText="1"/>
    </xf>
    <xf numFmtId="1" fontId="3" fillId="2" borderId="1" xfId="0" applyNumberFormat="1" applyFont="1" applyFill="1" applyBorder="1" applyAlignment="1">
      <alignment horizontal="justify" vertical="center" wrapText="1"/>
    </xf>
    <xf numFmtId="1" fontId="3" fillId="7" borderId="1" xfId="0" applyNumberFormat="1" applyFont="1" applyFill="1" applyBorder="1" applyAlignment="1">
      <alignment horizontal="justify" vertical="center" wrapText="1"/>
    </xf>
    <xf numFmtId="0" fontId="1" fillId="10" borderId="4" xfId="0" applyFont="1" applyFill="1" applyBorder="1" applyAlignment="1">
      <alignment horizontal="justify" vertical="center" wrapText="1"/>
    </xf>
    <xf numFmtId="0" fontId="1" fillId="3" borderId="10" xfId="0" applyFont="1" applyFill="1" applyBorder="1" applyAlignment="1">
      <alignment horizontal="justify" vertical="center"/>
    </xf>
    <xf numFmtId="0" fontId="3" fillId="5" borderId="2" xfId="0" applyFont="1" applyFill="1" applyBorder="1" applyAlignment="1">
      <alignment horizontal="justify" vertical="center"/>
    </xf>
    <xf numFmtId="0" fontId="3" fillId="9" borderId="0" xfId="0" applyFont="1" applyFill="1" applyAlignment="1">
      <alignment horizontal="justify"/>
    </xf>
    <xf numFmtId="0" fontId="3" fillId="0" borderId="0" xfId="0" applyFont="1" applyAlignment="1">
      <alignment horizontal="justify"/>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171" fontId="3" fillId="0" borderId="1" xfId="1" applyFont="1" applyFill="1" applyBorder="1" applyAlignment="1">
      <alignment horizontal="right" vertical="center"/>
    </xf>
    <xf numFmtId="171" fontId="7" fillId="0" borderId="14" xfId="1" applyFont="1" applyFill="1" applyBorder="1" applyAlignment="1">
      <alignment horizontal="justify" vertical="center"/>
    </xf>
    <xf numFmtId="171" fontId="7" fillId="0" borderId="3" xfId="1" applyFont="1" applyFill="1" applyBorder="1" applyAlignment="1">
      <alignment horizontal="justify" vertical="center"/>
    </xf>
    <xf numFmtId="171" fontId="7" fillId="0" borderId="1" xfId="1" applyFont="1" applyFill="1" applyBorder="1" applyAlignment="1">
      <alignment horizontal="justify" vertical="center"/>
    </xf>
    <xf numFmtId="171" fontId="3" fillId="0" borderId="6" xfId="1" applyFont="1" applyFill="1" applyBorder="1" applyAlignment="1">
      <alignment horizontal="center" vertical="center"/>
    </xf>
    <xf numFmtId="171" fontId="3" fillId="0" borderId="1" xfId="1" applyFont="1" applyFill="1" applyBorder="1" applyAlignment="1">
      <alignment horizontal="justify" vertical="center" wrapText="1"/>
    </xf>
    <xf numFmtId="171" fontId="7" fillId="0" borderId="6" xfId="1" applyFont="1" applyFill="1" applyBorder="1" applyAlignment="1">
      <alignment horizontal="justify" vertical="center"/>
    </xf>
    <xf numFmtId="171" fontId="7" fillId="0" borderId="3" xfId="1" applyFont="1" applyFill="1" applyBorder="1" applyAlignment="1">
      <alignment horizontal="right" vertical="center" wrapText="1"/>
    </xf>
    <xf numFmtId="175" fontId="3" fillId="0" borderId="1" xfId="1" applyNumberFormat="1" applyFont="1" applyBorder="1" applyAlignment="1">
      <alignment horizontal="right" vertical="center"/>
    </xf>
    <xf numFmtId="171" fontId="3" fillId="0" borderId="9" xfId="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71" fontId="1" fillId="13" borderId="1" xfId="1" applyFont="1" applyFill="1" applyBorder="1" applyAlignment="1">
      <alignment vertical="center"/>
    </xf>
    <xf numFmtId="0" fontId="1" fillId="13" borderId="4" xfId="0" applyFont="1" applyFill="1" applyBorder="1" applyAlignment="1">
      <alignment horizontal="justify" vertical="center"/>
    </xf>
    <xf numFmtId="0" fontId="1" fillId="13" borderId="4" xfId="0" applyFont="1" applyFill="1" applyBorder="1" applyAlignment="1">
      <alignment horizontal="center" vertical="center"/>
    </xf>
    <xf numFmtId="1" fontId="1" fillId="13" borderId="4" xfId="0" applyNumberFormat="1" applyFont="1" applyFill="1" applyBorder="1" applyAlignment="1">
      <alignment horizontal="center" vertical="center"/>
    </xf>
    <xf numFmtId="0" fontId="1" fillId="13" borderId="4" xfId="0" applyFont="1" applyFill="1" applyBorder="1" applyAlignment="1">
      <alignment horizontal="center" vertical="center" wrapText="1"/>
    </xf>
    <xf numFmtId="0" fontId="1" fillId="13" borderId="4"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171" fontId="3" fillId="0" borderId="9" xfId="1" applyFont="1" applyFill="1" applyBorder="1" applyAlignment="1">
      <alignment horizontal="center" vertical="center"/>
    </xf>
    <xf numFmtId="1" fontId="3" fillId="0" borderId="1" xfId="1" applyNumberFormat="1" applyFont="1" applyBorder="1" applyAlignment="1">
      <alignment horizontal="center" vertical="center" wrapText="1"/>
    </xf>
    <xf numFmtId="0" fontId="3" fillId="0" borderId="3" xfId="0" applyFont="1" applyBorder="1" applyAlignment="1">
      <alignment vertical="center" wrapText="1"/>
    </xf>
    <xf numFmtId="0" fontId="1" fillId="0" borderId="4"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justify" vertical="center" wrapText="1"/>
    </xf>
    <xf numFmtId="0" fontId="1" fillId="4" borderId="1" xfId="0" applyFont="1" applyFill="1" applyBorder="1" applyAlignment="1">
      <alignment horizontal="left" vertical="center" wrapText="1"/>
    </xf>
    <xf numFmtId="9" fontId="3" fillId="0" borderId="6" xfId="0" applyNumberFormat="1" applyFont="1" applyBorder="1" applyAlignment="1">
      <alignment horizontal="center" vertical="center"/>
    </xf>
    <xf numFmtId="9" fontId="3" fillId="0" borderId="6"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9" fontId="3" fillId="0" borderId="9"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6" xfId="0" applyNumberFormat="1" applyFont="1" applyBorder="1" applyAlignment="1">
      <alignment horizontal="justify" vertical="center" wrapText="1"/>
    </xf>
    <xf numFmtId="0" fontId="3" fillId="0" borderId="2" xfId="0" applyFont="1" applyBorder="1" applyAlignment="1">
      <alignment horizontal="justify" vertical="center"/>
    </xf>
    <xf numFmtId="0" fontId="3" fillId="0" borderId="6" xfId="0" applyFont="1" applyBorder="1" applyAlignment="1">
      <alignment horizontal="justify" vertical="center"/>
    </xf>
    <xf numFmtId="0" fontId="3" fillId="0" borderId="9" xfId="0" applyFont="1" applyBorder="1" applyAlignment="1">
      <alignment horizontal="justify" vertical="center"/>
    </xf>
    <xf numFmtId="3" fontId="3" fillId="0" borderId="2"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1" xfId="0" applyFont="1" applyBorder="1" applyAlignment="1">
      <alignment horizontal="justify" vertical="center" wrapText="1"/>
    </xf>
    <xf numFmtId="16" fontId="3" fillId="0" borderId="6"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0" fontId="3" fillId="0" borderId="13" xfId="0" applyFont="1" applyBorder="1" applyAlignment="1">
      <alignment horizontal="justify" vertical="center" wrapText="1"/>
    </xf>
    <xf numFmtId="0" fontId="3" fillId="0" borderId="15" xfId="0" applyFont="1" applyBorder="1" applyAlignment="1">
      <alignment horizontal="justify" vertical="center" wrapText="1"/>
    </xf>
    <xf numFmtId="3" fontId="3" fillId="0" borderId="1" xfId="0" applyNumberFormat="1" applyFont="1" applyBorder="1" applyAlignment="1">
      <alignment horizontal="justify" vertical="center"/>
    </xf>
    <xf numFmtId="0" fontId="1" fillId="13" borderId="12" xfId="0" applyFont="1" applyFill="1" applyBorder="1" applyAlignment="1">
      <alignment horizontal="center" vertical="center" wrapText="1"/>
    </xf>
    <xf numFmtId="0" fontId="3" fillId="0" borderId="1" xfId="0" applyFont="1" applyBorder="1" applyAlignment="1">
      <alignment horizontal="center" vertical="center" wrapText="1"/>
    </xf>
    <xf numFmtId="173" fontId="1" fillId="13" borderId="3" xfId="2" applyNumberFormat="1" applyFont="1" applyFill="1" applyBorder="1" applyAlignment="1">
      <alignment horizontal="center" vertical="center" wrapText="1"/>
    </xf>
    <xf numFmtId="174" fontId="1" fillId="13" borderId="3" xfId="1" applyNumberFormat="1" applyFont="1" applyFill="1" applyBorder="1" applyAlignment="1">
      <alignment horizontal="center" vertical="center" wrapText="1"/>
    </xf>
    <xf numFmtId="0" fontId="1" fillId="13" borderId="1" xfId="0" applyFont="1" applyFill="1" applyBorder="1" applyAlignment="1">
      <alignment horizontal="justify" vertical="center" wrapText="1"/>
    </xf>
    <xf numFmtId="173" fontId="10" fillId="13" borderId="3" xfId="2" applyNumberFormat="1" applyFont="1" applyFill="1" applyBorder="1" applyAlignment="1">
      <alignment horizontal="center" vertical="center" wrapText="1"/>
    </xf>
    <xf numFmtId="173" fontId="1" fillId="13" borderId="1" xfId="2" applyNumberFormat="1" applyFont="1" applyFill="1" applyBorder="1" applyAlignment="1">
      <alignment horizontal="center" vertical="center" wrapText="1"/>
    </xf>
    <xf numFmtId="0" fontId="1" fillId="4" borderId="3" xfId="0" applyFont="1" applyFill="1" applyBorder="1" applyAlignment="1">
      <alignment horizontal="left" vertical="center" wrapText="1"/>
    </xf>
    <xf numFmtId="0" fontId="3" fillId="0" borderId="0" xfId="0" applyFont="1" applyBorder="1" applyAlignment="1">
      <alignment horizontal="center" vertical="center" wrapText="1"/>
    </xf>
    <xf numFmtId="1" fontId="3" fillId="0" borderId="0" xfId="0" applyNumberFormat="1" applyFont="1" applyBorder="1" applyAlignment="1">
      <alignment horizontal="center" vertical="center"/>
    </xf>
    <xf numFmtId="0" fontId="3" fillId="0" borderId="0" xfId="0" applyFont="1" applyBorder="1" applyAlignment="1">
      <alignment horizontal="justify" vertical="center"/>
    </xf>
    <xf numFmtId="171" fontId="3" fillId="0" borderId="0" xfId="1" applyFont="1" applyBorder="1" applyAlignment="1">
      <alignment horizontal="justify" vertical="center"/>
    </xf>
    <xf numFmtId="171" fontId="3" fillId="9" borderId="0" xfId="1" applyFont="1" applyFill="1" applyBorder="1" applyAlignment="1">
      <alignment horizontal="justify" vertical="center"/>
    </xf>
    <xf numFmtId="171" fontId="3" fillId="0" borderId="0" xfId="1" applyFont="1" applyBorder="1" applyAlignment="1">
      <alignment horizontal="center" vertical="center"/>
    </xf>
    <xf numFmtId="0" fontId="1" fillId="0" borderId="0" xfId="0" applyFont="1" applyBorder="1" applyAlignment="1">
      <alignment vertical="center" wrapText="1"/>
    </xf>
    <xf numFmtId="171" fontId="3" fillId="0" borderId="0" xfId="1" applyFont="1" applyBorder="1" applyAlignment="1">
      <alignment vertical="center"/>
    </xf>
    <xf numFmtId="0" fontId="1" fillId="4" borderId="3" xfId="0" applyFont="1" applyFill="1" applyBorder="1" applyAlignment="1">
      <alignment horizontal="justify" vertical="center" wrapText="1"/>
    </xf>
    <xf numFmtId="0" fontId="3" fillId="7" borderId="0" xfId="0" applyFont="1" applyFill="1" applyBorder="1" applyAlignment="1">
      <alignment horizontal="justify" vertical="center" wrapText="1"/>
    </xf>
    <xf numFmtId="0" fontId="3" fillId="7" borderId="0" xfId="0" applyFont="1" applyFill="1" applyBorder="1" applyAlignment="1">
      <alignment horizontal="center" vertical="center" wrapText="1"/>
    </xf>
    <xf numFmtId="2" fontId="3" fillId="0" borderId="0" xfId="0" applyNumberFormat="1" applyFont="1" applyBorder="1" applyAlignment="1">
      <alignment horizontal="center" vertical="center"/>
    </xf>
    <xf numFmtId="171" fontId="1" fillId="2" borderId="0" xfId="1" applyFont="1" applyFill="1" applyBorder="1" applyAlignment="1">
      <alignment vertical="center"/>
    </xf>
    <xf numFmtId="171" fontId="5" fillId="9" borderId="0" xfId="1" applyFont="1" applyFill="1" applyBorder="1"/>
    <xf numFmtId="3" fontId="3" fillId="0" borderId="0" xfId="0" applyNumberFormat="1" applyFont="1" applyBorder="1" applyAlignment="1">
      <alignment horizontal="center" vertical="center" wrapText="1"/>
    </xf>
    <xf numFmtId="3" fontId="3" fillId="0" borderId="0" xfId="0" applyNumberFormat="1" applyFont="1" applyBorder="1" applyAlignment="1">
      <alignment horizontal="justify" vertical="center" wrapText="1"/>
    </xf>
    <xf numFmtId="3" fontId="3" fillId="0" borderId="0" xfId="0" applyNumberFormat="1" applyFont="1" applyBorder="1" applyAlignment="1">
      <alignment horizontal="center" vertical="center"/>
    </xf>
    <xf numFmtId="171" fontId="3" fillId="0" borderId="0" xfId="1" applyFont="1" applyBorder="1"/>
    <xf numFmtId="0" fontId="1" fillId="9" borderId="0" xfId="0" applyFont="1" applyFill="1" applyBorder="1" applyAlignment="1">
      <alignment horizontal="center" vertical="center" wrapText="1"/>
    </xf>
    <xf numFmtId="1" fontId="1" fillId="9" borderId="0" xfId="0" applyNumberFormat="1" applyFont="1" applyFill="1" applyBorder="1" applyAlignment="1">
      <alignment horizontal="center" vertical="center" wrapText="1"/>
    </xf>
    <xf numFmtId="0" fontId="1" fillId="9" borderId="0" xfId="0" applyFont="1" applyFill="1" applyBorder="1" applyAlignment="1">
      <alignment horizontal="justify" vertical="center" wrapText="1"/>
    </xf>
    <xf numFmtId="0" fontId="3" fillId="9" borderId="0" xfId="0" applyFont="1" applyFill="1" applyBorder="1" applyAlignment="1">
      <alignment horizontal="center" vertical="center" wrapText="1"/>
    </xf>
    <xf numFmtId="171" fontId="1" fillId="9" borderId="0" xfId="1" applyFont="1" applyFill="1" applyBorder="1" applyAlignment="1">
      <alignment horizontal="justify" vertical="center"/>
    </xf>
    <xf numFmtId="171" fontId="7" fillId="0" borderId="2" xfId="1" applyFont="1" applyBorder="1" applyAlignment="1">
      <alignment horizontal="center" vertical="center"/>
    </xf>
    <xf numFmtId="171" fontId="3" fillId="0" borderId="2" xfId="1" applyFont="1" applyBorder="1" applyAlignment="1">
      <alignment horizontal="right" vertical="center"/>
    </xf>
    <xf numFmtId="171" fontId="7" fillId="0" borderId="2" xfId="1" applyFont="1" applyFill="1" applyBorder="1" applyAlignment="1">
      <alignment horizontal="center" vertical="center"/>
    </xf>
    <xf numFmtId="0" fontId="3" fillId="2" borderId="6"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1" fontId="3" fillId="2" borderId="6" xfId="0" applyNumberFormat="1" applyFont="1" applyFill="1" applyBorder="1" applyAlignment="1">
      <alignment horizontal="center" vertical="center"/>
    </xf>
    <xf numFmtId="0" fontId="3" fillId="2" borderId="6" xfId="0" applyFont="1" applyFill="1" applyBorder="1" applyAlignment="1">
      <alignment horizontal="justify" vertical="center"/>
    </xf>
    <xf numFmtId="171" fontId="3" fillId="2" borderId="6" xfId="1" applyFont="1" applyFill="1" applyBorder="1" applyAlignment="1">
      <alignment horizontal="justify" vertical="center"/>
    </xf>
    <xf numFmtId="0" fontId="3" fillId="2" borderId="11" xfId="0" applyFont="1" applyFill="1" applyBorder="1" applyAlignment="1">
      <alignment horizontal="justify" vertical="center" wrapText="1"/>
    </xf>
    <xf numFmtId="0" fontId="3" fillId="2" borderId="13" xfId="0" applyFont="1" applyFill="1" applyBorder="1" applyAlignment="1">
      <alignment vertical="center"/>
    </xf>
    <xf numFmtId="0" fontId="3" fillId="2" borderId="5" xfId="0" applyFont="1" applyFill="1" applyBorder="1" applyAlignment="1">
      <alignment vertical="center"/>
    </xf>
    <xf numFmtId="1" fontId="3" fillId="2" borderId="5" xfId="0" applyNumberFormat="1" applyFont="1" applyFill="1" applyBorder="1" applyAlignment="1">
      <alignment vertical="center"/>
    </xf>
    <xf numFmtId="0" fontId="3" fillId="2" borderId="5" xfId="0" applyFont="1" applyFill="1" applyBorder="1" applyAlignment="1">
      <alignment horizontal="justify" vertical="center"/>
    </xf>
    <xf numFmtId="2" fontId="3" fillId="0" borderId="10" xfId="0" applyNumberFormat="1" applyFont="1" applyBorder="1" applyAlignment="1">
      <alignment horizontal="center" vertical="center" wrapText="1"/>
    </xf>
    <xf numFmtId="0" fontId="3" fillId="4" borderId="0" xfId="0" applyFont="1" applyFill="1" applyBorder="1" applyAlignment="1">
      <alignment horizontal="justify" vertical="center" wrapText="1"/>
    </xf>
    <xf numFmtId="0" fontId="3" fillId="4" borderId="0" xfId="0" applyFont="1" applyFill="1" applyBorder="1" applyAlignment="1">
      <alignment horizontal="center" vertical="center" wrapText="1"/>
    </xf>
    <xf numFmtId="0" fontId="1" fillId="0" borderId="0" xfId="0" applyFont="1" applyBorder="1" applyAlignment="1">
      <alignment vertical="center"/>
    </xf>
    <xf numFmtId="0" fontId="1" fillId="13" borderId="2" xfId="0" applyFont="1" applyFill="1" applyBorder="1" applyAlignment="1">
      <alignment horizontal="center" vertical="center" wrapText="1"/>
    </xf>
    <xf numFmtId="1" fontId="7" fillId="0" borderId="2" xfId="0" applyNumberFormat="1" applyFont="1" applyBorder="1" applyAlignment="1">
      <alignment horizontal="center" vertical="center"/>
    </xf>
    <xf numFmtId="0" fontId="1" fillId="1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0" xfId="0" applyFont="1" applyBorder="1" applyAlignment="1">
      <alignment horizontal="center" vertical="center"/>
    </xf>
    <xf numFmtId="1" fontId="7" fillId="0" borderId="13"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2" xfId="0" applyFont="1" applyBorder="1" applyAlignment="1">
      <alignment horizontal="justify" vertical="center"/>
    </xf>
    <xf numFmtId="0" fontId="3" fillId="0" borderId="6" xfId="0" applyFont="1" applyBorder="1" applyAlignment="1">
      <alignment horizontal="justify" vertical="center"/>
    </xf>
    <xf numFmtId="0" fontId="3" fillId="0" borderId="9" xfId="0" applyFont="1" applyBorder="1" applyAlignment="1">
      <alignment horizontal="justify"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center"/>
    </xf>
    <xf numFmtId="1" fontId="3"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9" xfId="0" applyNumberFormat="1" applyFont="1" applyBorder="1" applyAlignment="1">
      <alignment horizontal="center" vertical="center"/>
    </xf>
    <xf numFmtId="173" fontId="3" fillId="0" borderId="2" xfId="2" applyNumberFormat="1" applyFont="1" applyBorder="1" applyAlignment="1">
      <alignment horizontal="justify" vertical="center" wrapText="1"/>
    </xf>
    <xf numFmtId="173" fontId="3" fillId="0" borderId="6" xfId="2" applyNumberFormat="1" applyFont="1" applyBorder="1" applyAlignment="1">
      <alignment horizontal="justify" vertical="center" wrapText="1"/>
    </xf>
    <xf numFmtId="173" fontId="3" fillId="0" borderId="9" xfId="2" applyNumberFormat="1" applyFont="1" applyBorder="1" applyAlignment="1">
      <alignment horizontal="justify" vertical="center" wrapText="1"/>
    </xf>
    <xf numFmtId="10" fontId="3" fillId="0" borderId="2"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16" fontId="3" fillId="0" borderId="2" xfId="0" applyNumberFormat="1" applyFont="1" applyBorder="1" applyAlignment="1">
      <alignment horizontal="center" vertical="center" wrapText="1"/>
    </xf>
    <xf numFmtId="16" fontId="3" fillId="0" borderId="6"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justify" vertical="center" wrapText="1"/>
    </xf>
    <xf numFmtId="3" fontId="3" fillId="0" borderId="2" xfId="0" applyNumberFormat="1" applyFont="1" applyBorder="1" applyAlignment="1">
      <alignment horizontal="justify" vertical="center" wrapText="1"/>
    </xf>
    <xf numFmtId="3" fontId="3" fillId="0" borderId="6" xfId="0" applyNumberFormat="1" applyFont="1" applyBorder="1" applyAlignment="1">
      <alignment horizontal="justify" vertical="center" wrapText="1"/>
    </xf>
    <xf numFmtId="3" fontId="3" fillId="0" borderId="9" xfId="0" applyNumberFormat="1" applyFont="1" applyBorder="1" applyAlignment="1">
      <alignment horizontal="justify" vertical="center" wrapText="1"/>
    </xf>
    <xf numFmtId="3" fontId="3" fillId="0" borderId="2" xfId="0" applyNumberFormat="1" applyFont="1" applyBorder="1" applyAlignment="1">
      <alignment horizontal="justify" vertical="center"/>
    </xf>
    <xf numFmtId="3" fontId="3" fillId="0" borderId="6" xfId="0" applyNumberFormat="1" applyFont="1" applyBorder="1" applyAlignment="1">
      <alignment horizontal="justify" vertical="center"/>
    </xf>
    <xf numFmtId="3" fontId="3" fillId="0" borderId="9" xfId="0" applyNumberFormat="1" applyFont="1" applyBorder="1" applyAlignment="1">
      <alignment horizontal="justify" vertical="center"/>
    </xf>
    <xf numFmtId="1" fontId="7" fillId="0" borderId="13"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5" xfId="0" applyNumberFormat="1" applyFont="1" applyBorder="1" applyAlignment="1">
      <alignment horizontal="center" vertical="center" wrapText="1"/>
    </xf>
    <xf numFmtId="3" fontId="3" fillId="0" borderId="1" xfId="0" applyNumberFormat="1" applyFont="1" applyBorder="1" applyAlignment="1">
      <alignment horizontal="justify" vertical="center"/>
    </xf>
    <xf numFmtId="0" fontId="3" fillId="0" borderId="12"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3" fontId="3" fillId="0" borderId="2" xfId="4" applyNumberFormat="1" applyFont="1" applyBorder="1" applyAlignment="1">
      <alignment horizontal="center" vertical="center" wrapText="1"/>
    </xf>
    <xf numFmtId="3" fontId="3" fillId="0" borderId="9" xfId="4"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6" xfId="0" applyNumberFormat="1" applyFont="1" applyBorder="1" applyAlignment="1">
      <alignment horizontal="justify" vertical="center" wrapText="1"/>
    </xf>
    <xf numFmtId="1" fontId="3" fillId="0" borderId="2" xfId="4" applyNumberFormat="1" applyFont="1" applyBorder="1" applyAlignment="1">
      <alignment horizontal="justify" vertical="center" wrapText="1"/>
    </xf>
    <xf numFmtId="1" fontId="3" fillId="0" borderId="6" xfId="4" applyNumberFormat="1" applyFont="1" applyBorder="1" applyAlignment="1">
      <alignment horizontal="justify" vertical="center" wrapText="1"/>
    </xf>
    <xf numFmtId="1" fontId="3" fillId="0" borderId="9" xfId="4" applyNumberFormat="1" applyFont="1" applyBorder="1" applyAlignment="1">
      <alignment horizontal="justify" vertical="center" wrapText="1"/>
    </xf>
    <xf numFmtId="0" fontId="3" fillId="0" borderId="1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1" fontId="3" fillId="0" borderId="2" xfId="0" applyNumberFormat="1" applyFont="1" applyBorder="1" applyAlignment="1">
      <alignment horizontal="justify" vertical="center" wrapText="1"/>
    </xf>
    <xf numFmtId="1" fontId="3" fillId="0" borderId="6" xfId="0" applyNumberFormat="1" applyFont="1" applyBorder="1" applyAlignment="1">
      <alignment horizontal="justify" vertical="center" wrapText="1"/>
    </xf>
    <xf numFmtId="1" fontId="3" fillId="0" borderId="9" xfId="0" applyNumberFormat="1" applyFont="1" applyBorder="1" applyAlignment="1">
      <alignment horizontal="justify" vertical="center" wrapText="1"/>
    </xf>
    <xf numFmtId="9" fontId="3" fillId="0" borderId="9" xfId="0" applyNumberFormat="1" applyFont="1" applyBorder="1" applyAlignment="1">
      <alignment horizontal="center" vertical="center" wrapText="1"/>
    </xf>
    <xf numFmtId="0" fontId="1" fillId="10" borderId="3" xfId="0" applyFont="1" applyFill="1" applyBorder="1" applyAlignment="1">
      <alignment horizontal="left" vertical="center" wrapText="1"/>
    </xf>
    <xf numFmtId="0" fontId="1" fillId="10" borderId="4"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9" borderId="5" xfId="0" applyFont="1" applyFill="1" applyBorder="1" applyAlignment="1">
      <alignment horizontal="left" vertical="center" wrapText="1"/>
    </xf>
    <xf numFmtId="9" fontId="3" fillId="0" borderId="6" xfId="0" applyNumberFormat="1" applyFont="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13" borderId="3" xfId="0" applyFont="1" applyFill="1" applyBorder="1" applyAlignment="1">
      <alignment horizontal="left" vertical="center" wrapText="1"/>
    </xf>
    <xf numFmtId="0" fontId="1" fillId="13" borderId="4" xfId="0" applyFont="1" applyFill="1" applyBorder="1" applyAlignment="1">
      <alignment horizontal="left" vertical="center" wrapText="1"/>
    </xf>
    <xf numFmtId="1" fontId="7" fillId="0" borderId="15"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3" fontId="3" fillId="0" borderId="6" xfId="0" applyNumberFormat="1" applyFont="1" applyBorder="1" applyAlignment="1">
      <alignment horizontal="justify" vertical="center" wrapText="1"/>
    </xf>
    <xf numFmtId="173" fontId="3" fillId="0" borderId="9" xfId="0" applyNumberFormat="1" applyFont="1" applyBorder="1" applyAlignment="1">
      <alignment horizontal="justify" vertical="center" wrapText="1"/>
    </xf>
  </cellXfs>
  <cellStyles count="5">
    <cellStyle name="Millares" xfId="1" builtinId="3"/>
    <cellStyle name="Millares 2" xfId="2"/>
    <cellStyle name="Millares 2 2" xfId="3"/>
    <cellStyle name="Normal" xfId="0" builtinId="0"/>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 val="MP AGRICULTURA"/>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343"/>
  <sheetViews>
    <sheetView tabSelected="1" zoomScale="59" zoomScaleNormal="59" workbookViewId="0">
      <selection activeCell="D10" sqref="D10"/>
    </sheetView>
  </sheetViews>
  <sheetFormatPr baseColWidth="10" defaultColWidth="9.140625" defaultRowHeight="15" x14ac:dyDescent="0.2"/>
  <cols>
    <col min="1" max="1" width="20.42578125" style="537" customWidth="1"/>
    <col min="2" max="2" width="21.7109375" style="537" customWidth="1"/>
    <col min="3" max="3" width="7.140625" style="340" customWidth="1"/>
    <col min="4" max="4" width="61.85546875" style="537" customWidth="1"/>
    <col min="5" max="5" width="16.5703125" style="537" customWidth="1"/>
    <col min="6" max="6" width="20.5703125" style="537" customWidth="1"/>
    <col min="7" max="7" width="21.28515625" style="537" customWidth="1"/>
    <col min="8" max="8" width="7" style="340" customWidth="1"/>
    <col min="9" max="9" width="66.85546875" style="537" customWidth="1"/>
    <col min="10" max="10" width="14" style="537" customWidth="1"/>
    <col min="11" max="11" width="10.7109375" style="537" customWidth="1"/>
    <col min="12" max="12" width="22.5703125" style="537" customWidth="1"/>
    <col min="13" max="13" width="28" style="610" customWidth="1"/>
    <col min="14" max="14" width="21.5703125" style="340" customWidth="1"/>
    <col min="15" max="15" width="60.5703125" style="537" customWidth="1"/>
    <col min="16" max="16" width="14.5703125" style="340" customWidth="1"/>
    <col min="17" max="17" width="32" style="537" customWidth="1"/>
    <col min="18" max="18" width="36" style="572" customWidth="1"/>
    <col min="19" max="19" width="32" style="537" customWidth="1"/>
    <col min="20" max="20" width="42.5703125" style="537" customWidth="1"/>
    <col min="21" max="22" width="32" style="537" customWidth="1"/>
    <col min="23" max="23" width="46" style="537" customWidth="1"/>
    <col min="24" max="26" width="32" style="537" customWidth="1"/>
    <col min="27" max="27" width="42.5703125" style="537" customWidth="1"/>
    <col min="28" max="28" width="32" style="562" customWidth="1"/>
    <col min="29" max="29" width="41.28515625" style="562" customWidth="1"/>
    <col min="30" max="31" width="32" style="537" customWidth="1"/>
    <col min="32" max="32" width="32.28515625" style="573" customWidth="1"/>
    <col min="33" max="33" width="32" style="537" customWidth="1"/>
    <col min="34" max="34" width="38" style="537" customWidth="1"/>
    <col min="35" max="35" width="29.5703125" style="537" customWidth="1"/>
    <col min="36" max="36" width="28.28515625" style="572" customWidth="1"/>
    <col min="37" max="37" width="33.28515625" style="537" customWidth="1"/>
    <col min="38" max="16384" width="9.140625" style="537"/>
  </cols>
  <sheetData>
    <row r="1" spans="1:37" ht="26.25" customHeight="1" x14ac:dyDescent="0.2">
      <c r="A1" s="724" t="s">
        <v>932</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550" t="s">
        <v>0</v>
      </c>
      <c r="AK1" s="550" t="s">
        <v>933</v>
      </c>
    </row>
    <row r="2" spans="1:37" ht="26.25" customHeight="1" x14ac:dyDescent="0.2">
      <c r="A2" s="724"/>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551" t="s">
        <v>1</v>
      </c>
      <c r="AK2" s="552">
        <v>1</v>
      </c>
    </row>
    <row r="3" spans="1:37" ht="26.25" customHeight="1" x14ac:dyDescent="0.2">
      <c r="A3" s="725" t="s">
        <v>927</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550" t="s">
        <v>2</v>
      </c>
      <c r="AK3" s="553" t="s">
        <v>3</v>
      </c>
    </row>
    <row r="4" spans="1:37" ht="26.25" customHeight="1" x14ac:dyDescent="0.2">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550" t="s">
        <v>4</v>
      </c>
      <c r="AK4" s="555" t="s">
        <v>5</v>
      </c>
    </row>
    <row r="5" spans="1:37" s="556" customFormat="1" ht="97.5" customHeight="1" x14ac:dyDescent="0.25">
      <c r="A5" s="723" t="s">
        <v>6</v>
      </c>
      <c r="B5" s="723" t="s">
        <v>7</v>
      </c>
      <c r="C5" s="740" t="s">
        <v>8</v>
      </c>
      <c r="D5" s="740"/>
      <c r="E5" s="723" t="s">
        <v>9</v>
      </c>
      <c r="F5" s="723" t="s">
        <v>10</v>
      </c>
      <c r="G5" s="723" t="s">
        <v>11</v>
      </c>
      <c r="H5" s="741" t="s">
        <v>12</v>
      </c>
      <c r="I5" s="741"/>
      <c r="J5" s="723" t="s">
        <v>9</v>
      </c>
      <c r="K5" s="721" t="s">
        <v>13</v>
      </c>
      <c r="L5" s="723" t="s">
        <v>14</v>
      </c>
      <c r="M5" s="676" t="s">
        <v>15</v>
      </c>
      <c r="N5" s="723" t="s">
        <v>16</v>
      </c>
      <c r="O5" s="723" t="s">
        <v>17</v>
      </c>
      <c r="P5" s="723" t="s">
        <v>18</v>
      </c>
      <c r="Q5" s="674" t="s">
        <v>934</v>
      </c>
      <c r="R5" s="674" t="s">
        <v>935</v>
      </c>
      <c r="S5" s="674" t="s">
        <v>936</v>
      </c>
      <c r="T5" s="674" t="s">
        <v>937</v>
      </c>
      <c r="U5" s="674" t="s">
        <v>19</v>
      </c>
      <c r="V5" s="674" t="s">
        <v>938</v>
      </c>
      <c r="W5" s="674" t="s">
        <v>939</v>
      </c>
      <c r="X5" s="674" t="s">
        <v>940</v>
      </c>
      <c r="Y5" s="674" t="s">
        <v>941</v>
      </c>
      <c r="Z5" s="674" t="s">
        <v>942</v>
      </c>
      <c r="AA5" s="674" t="s">
        <v>944</v>
      </c>
      <c r="AB5" s="674" t="s">
        <v>943</v>
      </c>
      <c r="AC5" s="674" t="s">
        <v>20</v>
      </c>
      <c r="AD5" s="674" t="s">
        <v>945</v>
      </c>
      <c r="AE5" s="674" t="s">
        <v>21</v>
      </c>
      <c r="AF5" s="675" t="s">
        <v>22</v>
      </c>
      <c r="AG5" s="674" t="s">
        <v>23</v>
      </c>
      <c r="AH5" s="674" t="s">
        <v>946</v>
      </c>
      <c r="AI5" s="674" t="s">
        <v>947</v>
      </c>
      <c r="AJ5" s="677" t="s">
        <v>948</v>
      </c>
      <c r="AK5" s="678" t="s">
        <v>24</v>
      </c>
    </row>
    <row r="6" spans="1:37" s="557" customFormat="1" ht="24.75" customHeight="1" x14ac:dyDescent="0.25">
      <c r="A6" s="4" t="s">
        <v>25</v>
      </c>
      <c r="B6" s="5"/>
      <c r="C6" s="6"/>
      <c r="D6" s="5"/>
      <c r="E6" s="5"/>
      <c r="F6" s="5"/>
      <c r="G6" s="5"/>
      <c r="H6" s="6"/>
      <c r="I6" s="5"/>
      <c r="J6" s="5"/>
      <c r="K6" s="5"/>
      <c r="L6" s="5"/>
      <c r="M6" s="577"/>
      <c r="N6" s="6">
        <v>0</v>
      </c>
      <c r="O6" s="5"/>
      <c r="P6" s="6"/>
      <c r="Q6" s="414"/>
      <c r="R6" s="414"/>
      <c r="S6" s="414"/>
      <c r="T6" s="414"/>
      <c r="U6" s="414"/>
      <c r="V6" s="414"/>
      <c r="W6" s="414"/>
      <c r="X6" s="414"/>
      <c r="Y6" s="414"/>
      <c r="Z6" s="414"/>
      <c r="AA6" s="414"/>
      <c r="AB6" s="414"/>
      <c r="AC6" s="414"/>
      <c r="AD6" s="414"/>
      <c r="AE6" s="414"/>
      <c r="AF6" s="414"/>
      <c r="AG6" s="414"/>
      <c r="AH6" s="414"/>
      <c r="AI6" s="414"/>
      <c r="AJ6" s="414"/>
      <c r="AK6" s="416"/>
    </row>
    <row r="7" spans="1:37" s="557" customFormat="1" ht="24.75" customHeight="1" x14ac:dyDescent="0.25">
      <c r="A7" s="679">
        <v>5</v>
      </c>
      <c r="B7" s="7" t="s">
        <v>26</v>
      </c>
      <c r="C7" s="8"/>
      <c r="D7" s="7"/>
      <c r="E7" s="7"/>
      <c r="F7" s="7"/>
      <c r="G7" s="7"/>
      <c r="H7" s="8"/>
      <c r="I7" s="7"/>
      <c r="J7" s="7"/>
      <c r="K7" s="7"/>
      <c r="L7" s="7"/>
      <c r="M7" s="578"/>
      <c r="N7" s="8"/>
      <c r="O7" s="7"/>
      <c r="P7" s="7"/>
      <c r="Q7" s="376"/>
      <c r="R7" s="376"/>
      <c r="S7" s="376"/>
      <c r="T7" s="376"/>
      <c r="U7" s="376"/>
      <c r="V7" s="376"/>
      <c r="W7" s="376"/>
      <c r="X7" s="376"/>
      <c r="Y7" s="376"/>
      <c r="Z7" s="376"/>
      <c r="AA7" s="376"/>
      <c r="AB7" s="376"/>
      <c r="AC7" s="376"/>
      <c r="AD7" s="376"/>
      <c r="AE7" s="376"/>
      <c r="AF7" s="376"/>
      <c r="AG7" s="376"/>
      <c r="AH7" s="376"/>
      <c r="AI7" s="376"/>
      <c r="AJ7" s="376"/>
      <c r="AK7" s="378"/>
    </row>
    <row r="8" spans="1:37" s="557" customFormat="1" ht="24.75" customHeight="1" x14ac:dyDescent="0.25">
      <c r="A8" s="125"/>
      <c r="B8" s="10">
        <v>28</v>
      </c>
      <c r="C8" s="11" t="s">
        <v>27</v>
      </c>
      <c r="D8" s="12"/>
      <c r="E8" s="12"/>
      <c r="F8" s="12"/>
      <c r="G8" s="12"/>
      <c r="H8" s="13"/>
      <c r="I8" s="12"/>
      <c r="J8" s="12"/>
      <c r="K8" s="12"/>
      <c r="L8" s="12"/>
      <c r="M8" s="579"/>
      <c r="N8" s="13"/>
      <c r="O8" s="12"/>
      <c r="P8" s="12"/>
      <c r="Q8" s="357"/>
      <c r="R8" s="357"/>
      <c r="S8" s="357"/>
      <c r="T8" s="357"/>
      <c r="U8" s="357"/>
      <c r="V8" s="357"/>
      <c r="W8" s="357"/>
      <c r="X8" s="357"/>
      <c r="Y8" s="357"/>
      <c r="Z8" s="357"/>
      <c r="AA8" s="357"/>
      <c r="AB8" s="357"/>
      <c r="AC8" s="357"/>
      <c r="AD8" s="357"/>
      <c r="AE8" s="357"/>
      <c r="AF8" s="357"/>
      <c r="AG8" s="357"/>
      <c r="AH8" s="357"/>
      <c r="AI8" s="357"/>
      <c r="AJ8" s="357"/>
      <c r="AK8" s="362"/>
    </row>
    <row r="9" spans="1:37" s="557" customFormat="1" ht="24.75" customHeight="1" x14ac:dyDescent="0.25">
      <c r="A9" s="167"/>
      <c r="B9" s="461"/>
      <c r="C9" s="333"/>
      <c r="D9" s="333"/>
      <c r="E9" s="333"/>
      <c r="F9" s="333"/>
      <c r="G9" s="460">
        <v>89</v>
      </c>
      <c r="H9" s="53" t="s">
        <v>28</v>
      </c>
      <c r="I9" s="53"/>
      <c r="J9" s="53"/>
      <c r="K9" s="53"/>
      <c r="L9" s="53"/>
      <c r="M9" s="580"/>
      <c r="N9" s="53"/>
      <c r="O9" s="53"/>
      <c r="P9" s="53" t="s">
        <v>851</v>
      </c>
      <c r="Q9" s="233"/>
      <c r="R9" s="233"/>
      <c r="S9" s="233"/>
      <c r="T9" s="233"/>
      <c r="U9" s="233"/>
      <c r="V9" s="233"/>
      <c r="W9" s="233"/>
      <c r="X9" s="233"/>
      <c r="Y9" s="233"/>
      <c r="Z9" s="233"/>
      <c r="AA9" s="233"/>
      <c r="AB9" s="233"/>
      <c r="AC9" s="233"/>
      <c r="AD9" s="233"/>
      <c r="AE9" s="233"/>
      <c r="AF9" s="233"/>
      <c r="AG9" s="233"/>
      <c r="AH9" s="233"/>
      <c r="AI9" s="233"/>
      <c r="AJ9" s="233"/>
      <c r="AK9" s="233"/>
    </row>
    <row r="10" spans="1:37" ht="81.75" customHeight="1" x14ac:dyDescent="0.2">
      <c r="A10" s="167"/>
      <c r="B10" s="167"/>
      <c r="C10" s="649" t="s">
        <v>29</v>
      </c>
      <c r="D10" s="644" t="s">
        <v>30</v>
      </c>
      <c r="E10" s="649">
        <v>0</v>
      </c>
      <c r="F10" s="649">
        <v>2</v>
      </c>
      <c r="G10" s="17"/>
      <c r="H10" s="648">
        <v>282</v>
      </c>
      <c r="I10" s="665" t="s">
        <v>31</v>
      </c>
      <c r="J10" s="18" t="s">
        <v>32</v>
      </c>
      <c r="K10" s="19">
        <v>2</v>
      </c>
      <c r="L10" s="20">
        <f>'[1]ENERO 2018 (2)'!N10</f>
        <v>2017003630112</v>
      </c>
      <c r="M10" s="21" t="s">
        <v>33</v>
      </c>
      <c r="N10" s="639" t="s">
        <v>34</v>
      </c>
      <c r="O10" s="665" t="s">
        <v>35</v>
      </c>
      <c r="P10" s="673" t="s">
        <v>36</v>
      </c>
      <c r="Q10" s="346">
        <v>0</v>
      </c>
      <c r="R10" s="346">
        <v>0</v>
      </c>
      <c r="S10" s="346">
        <v>0</v>
      </c>
      <c r="T10" s="346">
        <v>0</v>
      </c>
      <c r="U10" s="346">
        <v>0</v>
      </c>
      <c r="V10" s="346">
        <v>0</v>
      </c>
      <c r="W10" s="346">
        <v>0</v>
      </c>
      <c r="X10" s="346"/>
      <c r="Y10" s="346"/>
      <c r="Z10" s="346">
        <v>0</v>
      </c>
      <c r="AA10" s="346">
        <v>0</v>
      </c>
      <c r="AB10" s="346"/>
      <c r="AC10" s="346"/>
      <c r="AD10" s="346">
        <v>0</v>
      </c>
      <c r="AE10" s="346">
        <v>0</v>
      </c>
      <c r="AF10" s="22">
        <f>80000000+30000000</f>
        <v>110000000</v>
      </c>
      <c r="AG10" s="347"/>
      <c r="AH10" s="346">
        <v>0</v>
      </c>
      <c r="AI10" s="348"/>
      <c r="AJ10" s="348">
        <v>0</v>
      </c>
      <c r="AK10" s="346">
        <f t="shared" ref="AK10:AK17" si="0">Q10+R10+S10+T10+U10+V10+W10+X10+Y10+Z10+AA10+AB10+AC10+AD10+AE10+AF10+AG10+AH10+AI10+AJ10</f>
        <v>110000000</v>
      </c>
    </row>
    <row r="11" spans="1:37" ht="81.75" customHeight="1" x14ac:dyDescent="0.2">
      <c r="A11" s="167"/>
      <c r="B11" s="16"/>
      <c r="C11" s="663" t="s">
        <v>29</v>
      </c>
      <c r="D11" s="665" t="s">
        <v>37</v>
      </c>
      <c r="E11" s="673"/>
      <c r="F11" s="673"/>
      <c r="G11" s="23"/>
      <c r="H11" s="673">
        <v>283</v>
      </c>
      <c r="I11" s="665" t="s">
        <v>38</v>
      </c>
      <c r="J11" s="18" t="s">
        <v>32</v>
      </c>
      <c r="K11" s="19">
        <v>1</v>
      </c>
      <c r="L11" s="20">
        <f>'[1]ENERO 2018 (2)'!N11</f>
        <v>2017003630114</v>
      </c>
      <c r="M11" s="21" t="s">
        <v>33</v>
      </c>
      <c r="N11" s="18" t="s">
        <v>39</v>
      </c>
      <c r="O11" s="665" t="s">
        <v>40</v>
      </c>
      <c r="P11" s="673" t="s">
        <v>41</v>
      </c>
      <c r="Q11" s="346">
        <v>0</v>
      </c>
      <c r="R11" s="346">
        <v>0</v>
      </c>
      <c r="S11" s="346">
        <v>0</v>
      </c>
      <c r="T11" s="346">
        <v>0</v>
      </c>
      <c r="U11" s="346">
        <v>0</v>
      </c>
      <c r="V11" s="346">
        <v>0</v>
      </c>
      <c r="W11" s="346">
        <v>0</v>
      </c>
      <c r="X11" s="346"/>
      <c r="Y11" s="346"/>
      <c r="Z11" s="346">
        <v>0</v>
      </c>
      <c r="AA11" s="346">
        <v>0</v>
      </c>
      <c r="AB11" s="346"/>
      <c r="AC11" s="346"/>
      <c r="AD11" s="346">
        <v>0</v>
      </c>
      <c r="AE11" s="346">
        <v>0</v>
      </c>
      <c r="AF11" s="22">
        <f>35000000+50000000</f>
        <v>85000000</v>
      </c>
      <c r="AG11" s="347"/>
      <c r="AH11" s="346">
        <v>0</v>
      </c>
      <c r="AI11" s="348"/>
      <c r="AJ11" s="348">
        <v>0</v>
      </c>
      <c r="AK11" s="346">
        <f t="shared" si="0"/>
        <v>85000000</v>
      </c>
    </row>
    <row r="12" spans="1:37" ht="73.5" customHeight="1" x14ac:dyDescent="0.2">
      <c r="A12" s="167"/>
      <c r="B12" s="16"/>
      <c r="C12" s="663">
        <v>38</v>
      </c>
      <c r="D12" s="665" t="s">
        <v>42</v>
      </c>
      <c r="E12" s="673"/>
      <c r="F12" s="673"/>
      <c r="G12" s="23"/>
      <c r="H12" s="673">
        <v>284</v>
      </c>
      <c r="I12" s="665" t="s">
        <v>43</v>
      </c>
      <c r="J12" s="18">
        <v>1</v>
      </c>
      <c r="K12" s="19">
        <v>1</v>
      </c>
      <c r="L12" s="20">
        <f>'[1]ENERO 2018 (2)'!N12</f>
        <v>2017003630116</v>
      </c>
      <c r="M12" s="21" t="s">
        <v>33</v>
      </c>
      <c r="N12" s="18" t="s">
        <v>44</v>
      </c>
      <c r="O12" s="665" t="s">
        <v>45</v>
      </c>
      <c r="P12" s="673" t="s">
        <v>41</v>
      </c>
      <c r="Q12" s="346">
        <v>0</v>
      </c>
      <c r="R12" s="346">
        <v>0</v>
      </c>
      <c r="S12" s="346">
        <v>0</v>
      </c>
      <c r="T12" s="346">
        <v>0</v>
      </c>
      <c r="U12" s="346">
        <v>0</v>
      </c>
      <c r="V12" s="346">
        <v>0</v>
      </c>
      <c r="W12" s="346">
        <v>0</v>
      </c>
      <c r="X12" s="346"/>
      <c r="Y12" s="346"/>
      <c r="Z12" s="346">
        <v>0</v>
      </c>
      <c r="AA12" s="346">
        <v>0</v>
      </c>
      <c r="AB12" s="346"/>
      <c r="AC12" s="346"/>
      <c r="AD12" s="346">
        <v>0</v>
      </c>
      <c r="AE12" s="346">
        <v>0</v>
      </c>
      <c r="AF12" s="544">
        <f>83000000+90000000+120000000</f>
        <v>293000000</v>
      </c>
      <c r="AG12" s="347"/>
      <c r="AH12" s="346">
        <v>0</v>
      </c>
      <c r="AI12" s="348"/>
      <c r="AJ12" s="348">
        <v>0</v>
      </c>
      <c r="AK12" s="346">
        <f t="shared" si="0"/>
        <v>293000000</v>
      </c>
    </row>
    <row r="13" spans="1:37" ht="78.75" customHeight="1" x14ac:dyDescent="0.2">
      <c r="A13" s="167"/>
      <c r="B13" s="16"/>
      <c r="C13" s="663">
        <v>38</v>
      </c>
      <c r="D13" s="665" t="s">
        <v>42</v>
      </c>
      <c r="E13" s="673"/>
      <c r="F13" s="673"/>
      <c r="G13" s="23"/>
      <c r="H13" s="673">
        <v>285</v>
      </c>
      <c r="I13" s="665" t="s">
        <v>46</v>
      </c>
      <c r="J13" s="18">
        <v>1</v>
      </c>
      <c r="K13" s="19">
        <v>1</v>
      </c>
      <c r="L13" s="20">
        <f>'[1]ENERO 2018 (2)'!N13</f>
        <v>2017003630115</v>
      </c>
      <c r="M13" s="658" t="s">
        <v>33</v>
      </c>
      <c r="N13" s="639" t="s">
        <v>47</v>
      </c>
      <c r="O13" s="642" t="s">
        <v>48</v>
      </c>
      <c r="P13" s="673" t="s">
        <v>41</v>
      </c>
      <c r="Q13" s="346">
        <v>0</v>
      </c>
      <c r="R13" s="346">
        <v>0</v>
      </c>
      <c r="S13" s="346">
        <v>0</v>
      </c>
      <c r="T13" s="346">
        <v>0</v>
      </c>
      <c r="U13" s="346">
        <v>0</v>
      </c>
      <c r="V13" s="346">
        <v>0</v>
      </c>
      <c r="W13" s="346">
        <v>0</v>
      </c>
      <c r="X13" s="346"/>
      <c r="Y13" s="346"/>
      <c r="Z13" s="346">
        <v>0</v>
      </c>
      <c r="AA13" s="346">
        <v>0</v>
      </c>
      <c r="AB13" s="346"/>
      <c r="AC13" s="346"/>
      <c r="AD13" s="346">
        <v>0</v>
      </c>
      <c r="AE13" s="346">
        <v>0</v>
      </c>
      <c r="AF13" s="545">
        <f>70000000+30000000+110000000+45000000</f>
        <v>255000000</v>
      </c>
      <c r="AG13" s="347"/>
      <c r="AH13" s="346">
        <v>0</v>
      </c>
      <c r="AI13" s="348"/>
      <c r="AJ13" s="348">
        <v>0</v>
      </c>
      <c r="AK13" s="346">
        <f t="shared" si="0"/>
        <v>255000000</v>
      </c>
    </row>
    <row r="14" spans="1:37" ht="69" customHeight="1" x14ac:dyDescent="0.2">
      <c r="A14" s="167"/>
      <c r="B14" s="16"/>
      <c r="C14" s="663">
        <v>38</v>
      </c>
      <c r="D14" s="665" t="s">
        <v>42</v>
      </c>
      <c r="E14" s="673"/>
      <c r="F14" s="673"/>
      <c r="G14" s="23"/>
      <c r="H14" s="673">
        <v>280</v>
      </c>
      <c r="I14" s="665" t="s">
        <v>49</v>
      </c>
      <c r="J14" s="18">
        <v>0</v>
      </c>
      <c r="K14" s="19">
        <v>1</v>
      </c>
      <c r="L14" s="727">
        <f>'[1]ENERO 2018 (2)'!N14</f>
        <v>2017003630113</v>
      </c>
      <c r="M14" s="729" t="s">
        <v>33</v>
      </c>
      <c r="N14" s="730" t="s">
        <v>50</v>
      </c>
      <c r="O14" s="729" t="s">
        <v>852</v>
      </c>
      <c r="P14" s="663" t="s">
        <v>41</v>
      </c>
      <c r="Q14" s="346">
        <v>0</v>
      </c>
      <c r="R14" s="346">
        <v>0</v>
      </c>
      <c r="S14" s="346">
        <v>0</v>
      </c>
      <c r="T14" s="346">
        <v>0</v>
      </c>
      <c r="U14" s="346">
        <v>0</v>
      </c>
      <c r="V14" s="346">
        <v>0</v>
      </c>
      <c r="W14" s="346">
        <v>0</v>
      </c>
      <c r="X14" s="346"/>
      <c r="Y14" s="346"/>
      <c r="Z14" s="346">
        <v>0</v>
      </c>
      <c r="AA14" s="346">
        <v>0</v>
      </c>
      <c r="AB14" s="346"/>
      <c r="AC14" s="346"/>
      <c r="AD14" s="346">
        <v>0</v>
      </c>
      <c r="AE14" s="346">
        <v>0</v>
      </c>
      <c r="AF14" s="539">
        <f>25000000</f>
        <v>25000000</v>
      </c>
      <c r="AG14" s="22"/>
      <c r="AH14" s="346">
        <v>0</v>
      </c>
      <c r="AI14" s="348"/>
      <c r="AJ14" s="348">
        <v>0</v>
      </c>
      <c r="AK14" s="346">
        <f t="shared" si="0"/>
        <v>25000000</v>
      </c>
    </row>
    <row r="15" spans="1:37" ht="59.25" customHeight="1" x14ac:dyDescent="0.2">
      <c r="A15" s="167"/>
      <c r="B15" s="16"/>
      <c r="C15" s="648"/>
      <c r="D15" s="642"/>
      <c r="E15" s="648"/>
      <c r="F15" s="648"/>
      <c r="G15" s="25"/>
      <c r="H15" s="673">
        <v>281</v>
      </c>
      <c r="I15" s="665" t="s">
        <v>51</v>
      </c>
      <c r="J15" s="18">
        <v>0</v>
      </c>
      <c r="K15" s="19">
        <v>1</v>
      </c>
      <c r="L15" s="728"/>
      <c r="M15" s="729"/>
      <c r="N15" s="730"/>
      <c r="O15" s="729"/>
      <c r="P15" s="663" t="s">
        <v>41</v>
      </c>
      <c r="Q15" s="346"/>
      <c r="R15" s="346"/>
      <c r="S15" s="346"/>
      <c r="T15" s="346"/>
      <c r="U15" s="346"/>
      <c r="V15" s="346"/>
      <c r="W15" s="346"/>
      <c r="X15" s="346"/>
      <c r="Y15" s="346"/>
      <c r="Z15" s="346"/>
      <c r="AA15" s="346"/>
      <c r="AB15" s="346"/>
      <c r="AC15" s="346"/>
      <c r="AD15" s="346"/>
      <c r="AE15" s="346"/>
      <c r="AF15" s="539">
        <f>84000000+50000000</f>
        <v>134000000</v>
      </c>
      <c r="AG15" s="22"/>
      <c r="AH15" s="346"/>
      <c r="AI15" s="348"/>
      <c r="AJ15" s="348"/>
      <c r="AK15" s="346">
        <f t="shared" si="0"/>
        <v>134000000</v>
      </c>
    </row>
    <row r="16" spans="1:37" ht="46.5" customHeight="1" x14ac:dyDescent="0.2">
      <c r="A16" s="167"/>
      <c r="B16" s="16"/>
      <c r="C16" s="638"/>
      <c r="D16" s="643"/>
      <c r="E16" s="638"/>
      <c r="F16" s="638"/>
      <c r="G16" s="25"/>
      <c r="H16" s="673">
        <v>286</v>
      </c>
      <c r="I16" s="665" t="s">
        <v>52</v>
      </c>
      <c r="J16" s="18">
        <v>1</v>
      </c>
      <c r="K16" s="623" t="s">
        <v>853</v>
      </c>
      <c r="L16" s="728"/>
      <c r="M16" s="729"/>
      <c r="N16" s="730"/>
      <c r="O16" s="729"/>
      <c r="P16" s="663" t="s">
        <v>41</v>
      </c>
      <c r="Q16" s="346"/>
      <c r="R16" s="346"/>
      <c r="S16" s="346"/>
      <c r="T16" s="346"/>
      <c r="U16" s="346"/>
      <c r="V16" s="346"/>
      <c r="W16" s="346"/>
      <c r="X16" s="346"/>
      <c r="Y16" s="346"/>
      <c r="Z16" s="346"/>
      <c r="AA16" s="346"/>
      <c r="AB16" s="346"/>
      <c r="AC16" s="346"/>
      <c r="AD16" s="346"/>
      <c r="AE16" s="346"/>
      <c r="AF16" s="539">
        <f>85000000+80000000-165000000</f>
        <v>0</v>
      </c>
      <c r="AG16" s="22"/>
      <c r="AH16" s="346"/>
      <c r="AI16" s="348"/>
      <c r="AJ16" s="348"/>
      <c r="AK16" s="346">
        <f t="shared" si="0"/>
        <v>0</v>
      </c>
    </row>
    <row r="17" spans="1:37" ht="45.75" customHeight="1" x14ac:dyDescent="0.2">
      <c r="A17" s="167"/>
      <c r="B17" s="16"/>
      <c r="C17" s="638"/>
      <c r="D17" s="643"/>
      <c r="E17" s="638"/>
      <c r="F17" s="638"/>
      <c r="G17" s="25"/>
      <c r="H17" s="673">
        <v>287</v>
      </c>
      <c r="I17" s="665" t="s">
        <v>53</v>
      </c>
      <c r="J17" s="18">
        <v>1</v>
      </c>
      <c r="K17" s="19">
        <v>1</v>
      </c>
      <c r="L17" s="728"/>
      <c r="M17" s="729"/>
      <c r="N17" s="730"/>
      <c r="O17" s="729"/>
      <c r="P17" s="663" t="s">
        <v>41</v>
      </c>
      <c r="Q17" s="346"/>
      <c r="R17" s="346"/>
      <c r="S17" s="346"/>
      <c r="T17" s="346"/>
      <c r="U17" s="346"/>
      <c r="V17" s="346"/>
      <c r="W17" s="346"/>
      <c r="X17" s="346"/>
      <c r="Y17" s="346"/>
      <c r="Z17" s="346"/>
      <c r="AA17" s="346"/>
      <c r="AB17" s="346"/>
      <c r="AC17" s="346"/>
      <c r="AD17" s="346"/>
      <c r="AE17" s="346"/>
      <c r="AF17" s="103">
        <f>109000000+60000000</f>
        <v>169000000</v>
      </c>
      <c r="AG17" s="22"/>
      <c r="AH17" s="346"/>
      <c r="AI17" s="348"/>
      <c r="AJ17" s="348"/>
      <c r="AK17" s="346">
        <f t="shared" si="0"/>
        <v>169000000</v>
      </c>
    </row>
    <row r="18" spans="1:37" ht="30" customHeight="1" x14ac:dyDescent="0.2">
      <c r="A18" s="167"/>
      <c r="B18" s="29"/>
      <c r="C18" s="649"/>
      <c r="D18" s="644"/>
      <c r="E18" s="649"/>
      <c r="F18" s="649"/>
      <c r="G18" s="30"/>
      <c r="H18" s="31"/>
      <c r="I18" s="30"/>
      <c r="J18" s="32"/>
      <c r="K18" s="32"/>
      <c r="L18" s="32"/>
      <c r="M18" s="515"/>
      <c r="N18" s="129"/>
      <c r="O18" s="250"/>
      <c r="P18" s="31"/>
      <c r="Q18" s="355">
        <f t="shared" ref="Q18:AA18" si="1">SUM(Q10:Q17)</f>
        <v>0</v>
      </c>
      <c r="R18" s="355">
        <f t="shared" si="1"/>
        <v>0</v>
      </c>
      <c r="S18" s="355">
        <f t="shared" si="1"/>
        <v>0</v>
      </c>
      <c r="T18" s="355">
        <f t="shared" si="1"/>
        <v>0</v>
      </c>
      <c r="U18" s="355">
        <f t="shared" si="1"/>
        <v>0</v>
      </c>
      <c r="V18" s="355">
        <f t="shared" si="1"/>
        <v>0</v>
      </c>
      <c r="W18" s="355">
        <f t="shared" si="1"/>
        <v>0</v>
      </c>
      <c r="X18" s="355">
        <f t="shared" si="1"/>
        <v>0</v>
      </c>
      <c r="Y18" s="355">
        <f t="shared" si="1"/>
        <v>0</v>
      </c>
      <c r="Z18" s="355">
        <f t="shared" si="1"/>
        <v>0</v>
      </c>
      <c r="AA18" s="355">
        <f t="shared" si="1"/>
        <v>0</v>
      </c>
      <c r="AB18" s="355">
        <f t="shared" ref="AB18:AK18" si="2">SUM(AB10:AB17)</f>
        <v>0</v>
      </c>
      <c r="AC18" s="355">
        <f t="shared" si="2"/>
        <v>0</v>
      </c>
      <c r="AD18" s="355">
        <f t="shared" si="2"/>
        <v>0</v>
      </c>
      <c r="AE18" s="355">
        <f t="shared" si="2"/>
        <v>0</v>
      </c>
      <c r="AF18" s="355">
        <f t="shared" si="2"/>
        <v>1071000000</v>
      </c>
      <c r="AG18" s="355">
        <f t="shared" si="2"/>
        <v>0</v>
      </c>
      <c r="AH18" s="355">
        <f t="shared" si="2"/>
        <v>0</v>
      </c>
      <c r="AI18" s="355">
        <f t="shared" si="2"/>
        <v>0</v>
      </c>
      <c r="AJ18" s="355">
        <f t="shared" si="2"/>
        <v>0</v>
      </c>
      <c r="AK18" s="355">
        <f t="shared" si="2"/>
        <v>1071000000</v>
      </c>
    </row>
    <row r="19" spans="1:37" ht="30" customHeight="1" x14ac:dyDescent="0.2">
      <c r="A19" s="169"/>
      <c r="B19" s="34"/>
      <c r="C19" s="35"/>
      <c r="D19" s="34"/>
      <c r="E19" s="35"/>
      <c r="F19" s="35"/>
      <c r="G19" s="34"/>
      <c r="H19" s="35"/>
      <c r="I19" s="34"/>
      <c r="J19" s="36"/>
      <c r="K19" s="36"/>
      <c r="L19" s="36"/>
      <c r="M19" s="303"/>
      <c r="N19" s="35"/>
      <c r="O19" s="34"/>
      <c r="P19" s="35"/>
      <c r="Q19" s="361">
        <f>Q18</f>
        <v>0</v>
      </c>
      <c r="R19" s="361">
        <f t="shared" ref="R19:AK19" si="3">R18</f>
        <v>0</v>
      </c>
      <c r="S19" s="361">
        <f t="shared" si="3"/>
        <v>0</v>
      </c>
      <c r="T19" s="361">
        <f t="shared" si="3"/>
        <v>0</v>
      </c>
      <c r="U19" s="361">
        <f t="shared" si="3"/>
        <v>0</v>
      </c>
      <c r="V19" s="361">
        <f t="shared" si="3"/>
        <v>0</v>
      </c>
      <c r="W19" s="361">
        <f t="shared" si="3"/>
        <v>0</v>
      </c>
      <c r="X19" s="361">
        <f t="shared" si="3"/>
        <v>0</v>
      </c>
      <c r="Y19" s="361">
        <f t="shared" si="3"/>
        <v>0</v>
      </c>
      <c r="Z19" s="361">
        <f t="shared" si="3"/>
        <v>0</v>
      </c>
      <c r="AA19" s="361">
        <f t="shared" si="3"/>
        <v>0</v>
      </c>
      <c r="AB19" s="361">
        <f t="shared" si="3"/>
        <v>0</v>
      </c>
      <c r="AC19" s="361">
        <f t="shared" si="3"/>
        <v>0</v>
      </c>
      <c r="AD19" s="361">
        <f t="shared" si="3"/>
        <v>0</v>
      </c>
      <c r="AE19" s="361">
        <f t="shared" si="3"/>
        <v>0</v>
      </c>
      <c r="AF19" s="361">
        <f t="shared" si="3"/>
        <v>1071000000</v>
      </c>
      <c r="AG19" s="361">
        <f t="shared" si="3"/>
        <v>0</v>
      </c>
      <c r="AH19" s="361">
        <f t="shared" si="3"/>
        <v>0</v>
      </c>
      <c r="AI19" s="361">
        <f t="shared" si="3"/>
        <v>0</v>
      </c>
      <c r="AJ19" s="361">
        <f t="shared" si="3"/>
        <v>0</v>
      </c>
      <c r="AK19" s="361">
        <f t="shared" si="3"/>
        <v>1071000000</v>
      </c>
    </row>
    <row r="20" spans="1:37" ht="30" customHeight="1" x14ac:dyDescent="0.2">
      <c r="A20" s="37"/>
      <c r="B20" s="37"/>
      <c r="C20" s="38"/>
      <c r="D20" s="37"/>
      <c r="E20" s="38"/>
      <c r="F20" s="38"/>
      <c r="G20" s="37"/>
      <c r="H20" s="38"/>
      <c r="I20" s="37"/>
      <c r="J20" s="39"/>
      <c r="K20" s="39"/>
      <c r="L20" s="39"/>
      <c r="M20" s="311"/>
      <c r="N20" s="38"/>
      <c r="O20" s="37"/>
      <c r="P20" s="38"/>
      <c r="Q20" s="367">
        <f>+Q19</f>
        <v>0</v>
      </c>
      <c r="R20" s="367">
        <f t="shared" ref="R20:AK20" si="4">+R19</f>
        <v>0</v>
      </c>
      <c r="S20" s="367">
        <f t="shared" si="4"/>
        <v>0</v>
      </c>
      <c r="T20" s="367">
        <f t="shared" si="4"/>
        <v>0</v>
      </c>
      <c r="U20" s="367">
        <f t="shared" si="4"/>
        <v>0</v>
      </c>
      <c r="V20" s="367">
        <f t="shared" si="4"/>
        <v>0</v>
      </c>
      <c r="W20" s="367">
        <f t="shared" si="4"/>
        <v>0</v>
      </c>
      <c r="X20" s="367">
        <f t="shared" si="4"/>
        <v>0</v>
      </c>
      <c r="Y20" s="367">
        <f t="shared" si="4"/>
        <v>0</v>
      </c>
      <c r="Z20" s="367">
        <f t="shared" si="4"/>
        <v>0</v>
      </c>
      <c r="AA20" s="367">
        <f t="shared" si="4"/>
        <v>0</v>
      </c>
      <c r="AB20" s="367">
        <f t="shared" si="4"/>
        <v>0</v>
      </c>
      <c r="AC20" s="367">
        <f t="shared" si="4"/>
        <v>0</v>
      </c>
      <c r="AD20" s="367">
        <f t="shared" si="4"/>
        <v>0</v>
      </c>
      <c r="AE20" s="367">
        <f t="shared" si="4"/>
        <v>0</v>
      </c>
      <c r="AF20" s="367">
        <f t="shared" si="4"/>
        <v>1071000000</v>
      </c>
      <c r="AG20" s="367">
        <f t="shared" si="4"/>
        <v>0</v>
      </c>
      <c r="AH20" s="367">
        <f t="shared" si="4"/>
        <v>0</v>
      </c>
      <c r="AI20" s="367">
        <f t="shared" si="4"/>
        <v>0</v>
      </c>
      <c r="AJ20" s="367">
        <f t="shared" si="4"/>
        <v>0</v>
      </c>
      <c r="AK20" s="367">
        <f t="shared" si="4"/>
        <v>1071000000</v>
      </c>
    </row>
    <row r="21" spans="1:37" ht="30" customHeight="1" x14ac:dyDescent="0.2">
      <c r="A21" s="40"/>
      <c r="B21" s="40"/>
      <c r="C21" s="41"/>
      <c r="D21" s="40"/>
      <c r="E21" s="41"/>
      <c r="F21" s="41"/>
      <c r="G21" s="40"/>
      <c r="H21" s="41"/>
      <c r="I21" s="40"/>
      <c r="J21" s="42"/>
      <c r="K21" s="42"/>
      <c r="L21" s="42"/>
      <c r="M21" s="285"/>
      <c r="N21" s="41"/>
      <c r="O21" s="40"/>
      <c r="P21" s="41"/>
      <c r="Q21" s="368">
        <f>Q20</f>
        <v>0</v>
      </c>
      <c r="R21" s="368">
        <f t="shared" ref="R21:AK21" si="5">R20</f>
        <v>0</v>
      </c>
      <c r="S21" s="368">
        <f t="shared" si="5"/>
        <v>0</v>
      </c>
      <c r="T21" s="368">
        <f t="shared" si="5"/>
        <v>0</v>
      </c>
      <c r="U21" s="368">
        <f t="shared" si="5"/>
        <v>0</v>
      </c>
      <c r="V21" s="368">
        <f t="shared" si="5"/>
        <v>0</v>
      </c>
      <c r="W21" s="368">
        <f t="shared" si="5"/>
        <v>0</v>
      </c>
      <c r="X21" s="368">
        <f t="shared" si="5"/>
        <v>0</v>
      </c>
      <c r="Y21" s="368">
        <f t="shared" si="5"/>
        <v>0</v>
      </c>
      <c r="Z21" s="368">
        <f t="shared" si="5"/>
        <v>0</v>
      </c>
      <c r="AA21" s="368">
        <f t="shared" si="5"/>
        <v>0</v>
      </c>
      <c r="AB21" s="368">
        <f t="shared" si="5"/>
        <v>0</v>
      </c>
      <c r="AC21" s="368">
        <f t="shared" si="5"/>
        <v>0</v>
      </c>
      <c r="AD21" s="368">
        <f t="shared" si="5"/>
        <v>0</v>
      </c>
      <c r="AE21" s="368">
        <f t="shared" si="5"/>
        <v>0</v>
      </c>
      <c r="AF21" s="368">
        <f t="shared" si="5"/>
        <v>1071000000</v>
      </c>
      <c r="AG21" s="368">
        <f t="shared" si="5"/>
        <v>0</v>
      </c>
      <c r="AH21" s="368">
        <f t="shared" si="5"/>
        <v>0</v>
      </c>
      <c r="AI21" s="368">
        <f t="shared" si="5"/>
        <v>0</v>
      </c>
      <c r="AJ21" s="368">
        <f t="shared" si="5"/>
        <v>0</v>
      </c>
      <c r="AK21" s="368">
        <f t="shared" si="5"/>
        <v>1071000000</v>
      </c>
    </row>
    <row r="22" spans="1:37" ht="30" customHeight="1" x14ac:dyDescent="0.2">
      <c r="A22" s="43"/>
      <c r="B22" s="44"/>
      <c r="C22" s="116"/>
      <c r="D22" s="44"/>
      <c r="E22" s="116"/>
      <c r="F22" s="116"/>
      <c r="G22" s="44"/>
      <c r="H22" s="116"/>
      <c r="I22" s="44"/>
      <c r="J22" s="45"/>
      <c r="K22" s="45"/>
      <c r="L22" s="45"/>
      <c r="M22" s="62"/>
      <c r="N22" s="116"/>
      <c r="O22" s="44"/>
      <c r="P22" s="116"/>
      <c r="Q22" s="350"/>
      <c r="R22" s="351"/>
      <c r="S22" s="350"/>
      <c r="T22" s="350"/>
      <c r="U22" s="350"/>
      <c r="V22" s="350"/>
      <c r="W22" s="350"/>
      <c r="X22" s="350"/>
      <c r="Y22" s="350"/>
      <c r="Z22" s="350"/>
      <c r="AA22" s="350"/>
      <c r="AB22" s="351"/>
      <c r="AC22" s="351"/>
      <c r="AD22" s="350"/>
      <c r="AE22" s="350"/>
      <c r="AF22" s="352"/>
      <c r="AG22" s="353"/>
      <c r="AH22" s="350"/>
      <c r="AI22" s="350"/>
      <c r="AJ22" s="351"/>
      <c r="AK22" s="350"/>
    </row>
    <row r="23" spans="1:37" s="557" customFormat="1" ht="30" customHeight="1" x14ac:dyDescent="0.25">
      <c r="A23" s="4" t="s">
        <v>55</v>
      </c>
      <c r="B23" s="5"/>
      <c r="C23" s="6"/>
      <c r="D23" s="5"/>
      <c r="E23" s="5"/>
      <c r="F23" s="5"/>
      <c r="G23" s="5"/>
      <c r="H23" s="6"/>
      <c r="I23" s="5"/>
      <c r="J23" s="5"/>
      <c r="K23" s="5"/>
      <c r="L23" s="5"/>
      <c r="M23" s="577"/>
      <c r="N23" s="6"/>
      <c r="O23" s="5"/>
      <c r="P23" s="6"/>
      <c r="Q23" s="413"/>
      <c r="R23" s="413"/>
      <c r="S23" s="413"/>
      <c r="T23" s="413"/>
      <c r="U23" s="413"/>
      <c r="V23" s="413"/>
      <c r="W23" s="413"/>
      <c r="X23" s="413"/>
      <c r="Y23" s="413"/>
      <c r="Z23" s="413"/>
      <c r="AA23" s="413"/>
      <c r="AB23" s="413"/>
      <c r="AC23" s="413"/>
      <c r="AD23" s="413"/>
      <c r="AE23" s="413"/>
      <c r="AF23" s="414"/>
      <c r="AG23" s="415"/>
      <c r="AH23" s="413"/>
      <c r="AI23" s="413"/>
      <c r="AJ23" s="413"/>
      <c r="AK23" s="416" t="s">
        <v>56</v>
      </c>
    </row>
    <row r="24" spans="1:37" ht="30" customHeight="1" x14ac:dyDescent="0.2">
      <c r="A24" s="679">
        <v>5</v>
      </c>
      <c r="B24" s="7" t="s">
        <v>26</v>
      </c>
      <c r="C24" s="8"/>
      <c r="D24" s="7"/>
      <c r="E24" s="7"/>
      <c r="F24" s="7"/>
      <c r="G24" s="7"/>
      <c r="H24" s="8"/>
      <c r="I24" s="7"/>
      <c r="J24" s="7"/>
      <c r="K24" s="7"/>
      <c r="L24" s="7"/>
      <c r="M24" s="578"/>
      <c r="N24" s="8"/>
      <c r="O24" s="7"/>
      <c r="P24" s="7"/>
      <c r="Q24" s="376"/>
      <c r="R24" s="376"/>
      <c r="S24" s="376"/>
      <c r="T24" s="376"/>
      <c r="U24" s="376"/>
      <c r="V24" s="376"/>
      <c r="W24" s="376"/>
      <c r="X24" s="376"/>
      <c r="Y24" s="376"/>
      <c r="Z24" s="376"/>
      <c r="AA24" s="376"/>
      <c r="AB24" s="376"/>
      <c r="AC24" s="376"/>
      <c r="AD24" s="376"/>
      <c r="AE24" s="376"/>
      <c r="AF24" s="377"/>
      <c r="AG24" s="376"/>
      <c r="AH24" s="376"/>
      <c r="AI24" s="376"/>
      <c r="AJ24" s="376"/>
      <c r="AK24" s="378"/>
    </row>
    <row r="25" spans="1:37" ht="30" customHeight="1" x14ac:dyDescent="0.2">
      <c r="A25" s="48"/>
      <c r="B25" s="11">
        <v>26</v>
      </c>
      <c r="C25" s="11" t="s">
        <v>57</v>
      </c>
      <c r="D25" s="12"/>
      <c r="E25" s="12"/>
      <c r="F25" s="12"/>
      <c r="G25" s="12"/>
      <c r="H25" s="13"/>
      <c r="I25" s="12"/>
      <c r="J25" s="12"/>
      <c r="K25" s="12"/>
      <c r="L25" s="12"/>
      <c r="M25" s="579"/>
      <c r="N25" s="13"/>
      <c r="O25" s="12"/>
      <c r="P25" s="12"/>
      <c r="Q25" s="357"/>
      <c r="R25" s="357"/>
      <c r="S25" s="357"/>
      <c r="T25" s="357"/>
      <c r="U25" s="357"/>
      <c r="V25" s="357"/>
      <c r="W25" s="357"/>
      <c r="X25" s="357"/>
      <c r="Y25" s="357"/>
      <c r="Z25" s="357"/>
      <c r="AA25" s="357"/>
      <c r="AB25" s="357"/>
      <c r="AC25" s="357"/>
      <c r="AD25" s="357"/>
      <c r="AE25" s="357"/>
      <c r="AF25" s="358"/>
      <c r="AG25" s="357"/>
      <c r="AH25" s="357"/>
      <c r="AI25" s="357"/>
      <c r="AJ25" s="357"/>
      <c r="AK25" s="362"/>
    </row>
    <row r="26" spans="1:37" ht="30" customHeight="1" x14ac:dyDescent="0.2">
      <c r="A26" s="16"/>
      <c r="B26" s="48"/>
      <c r="C26" s="342"/>
      <c r="D26" s="48"/>
      <c r="E26" s="48"/>
      <c r="F26" s="48"/>
      <c r="G26" s="50">
        <v>83</v>
      </c>
      <c r="H26" s="51" t="s">
        <v>58</v>
      </c>
      <c r="I26" s="52"/>
      <c r="J26" s="52"/>
      <c r="K26" s="52"/>
      <c r="L26" s="52"/>
      <c r="M26" s="581"/>
      <c r="N26" s="136"/>
      <c r="O26" s="52"/>
      <c r="P26" s="52"/>
      <c r="Q26" s="231"/>
      <c r="R26" s="231"/>
      <c r="S26" s="231"/>
      <c r="T26" s="231"/>
      <c r="U26" s="231"/>
      <c r="V26" s="231"/>
      <c r="W26" s="231"/>
      <c r="X26" s="231"/>
      <c r="Y26" s="231"/>
      <c r="Z26" s="231"/>
      <c r="AA26" s="231"/>
      <c r="AB26" s="231"/>
      <c r="AC26" s="231"/>
      <c r="AD26" s="231"/>
      <c r="AE26" s="231"/>
      <c r="AF26" s="359"/>
      <c r="AG26" s="231"/>
      <c r="AH26" s="231"/>
      <c r="AI26" s="231"/>
      <c r="AJ26" s="231"/>
      <c r="AK26" s="233"/>
    </row>
    <row r="27" spans="1:37" ht="99.75" customHeight="1" x14ac:dyDescent="0.2">
      <c r="A27" s="16"/>
      <c r="B27" s="16"/>
      <c r="C27" s="462">
        <v>37</v>
      </c>
      <c r="D27" s="643" t="s">
        <v>59</v>
      </c>
      <c r="E27" s="640" t="s">
        <v>60</v>
      </c>
      <c r="F27" s="646">
        <v>0.6</v>
      </c>
      <c r="G27" s="665"/>
      <c r="H27" s="673">
        <v>246</v>
      </c>
      <c r="I27" s="665" t="s">
        <v>61</v>
      </c>
      <c r="J27" s="18" t="s">
        <v>32</v>
      </c>
      <c r="K27" s="19">
        <v>13</v>
      </c>
      <c r="L27" s="20">
        <v>2017003630021</v>
      </c>
      <c r="M27" s="21" t="s">
        <v>33</v>
      </c>
      <c r="N27" s="673" t="s">
        <v>62</v>
      </c>
      <c r="O27" s="665" t="s">
        <v>854</v>
      </c>
      <c r="P27" s="673" t="s">
        <v>41</v>
      </c>
      <c r="Q27" s="346">
        <v>0</v>
      </c>
      <c r="R27" s="346">
        <v>0</v>
      </c>
      <c r="S27" s="346">
        <v>0</v>
      </c>
      <c r="T27" s="346">
        <v>0</v>
      </c>
      <c r="U27" s="346">
        <v>0</v>
      </c>
      <c r="V27" s="346">
        <v>0</v>
      </c>
      <c r="W27" s="346">
        <v>0</v>
      </c>
      <c r="X27" s="346"/>
      <c r="Y27" s="346"/>
      <c r="Z27" s="346">
        <v>0</v>
      </c>
      <c r="AA27" s="346">
        <v>0</v>
      </c>
      <c r="AB27" s="346"/>
      <c r="AC27" s="346"/>
      <c r="AD27" s="346">
        <v>0</v>
      </c>
      <c r="AE27" s="346">
        <v>0</v>
      </c>
      <c r="AF27" s="349">
        <v>18000000</v>
      </c>
      <c r="AG27" s="349"/>
      <c r="AH27" s="346">
        <v>0</v>
      </c>
      <c r="AI27" s="348"/>
      <c r="AJ27" s="348">
        <v>0</v>
      </c>
      <c r="AK27" s="346">
        <f>Q27+R27+S27+T27+U27+V27+W27+X27+Y27+Z27+AA27+AB27+AC27+AD27+AE27+AF27+AG27+AH27+AI27+AJ27</f>
        <v>18000000</v>
      </c>
    </row>
    <row r="28" spans="1:37" ht="30" customHeight="1" x14ac:dyDescent="0.2">
      <c r="A28" s="16"/>
      <c r="B28" s="16"/>
      <c r="C28" s="543"/>
      <c r="D28" s="644"/>
      <c r="E28" s="649"/>
      <c r="F28" s="649"/>
      <c r="G28" s="30"/>
      <c r="H28" s="30"/>
      <c r="I28" s="30"/>
      <c r="J28" s="30"/>
      <c r="K28" s="30"/>
      <c r="L28" s="30"/>
      <c r="M28" s="30"/>
      <c r="N28" s="30"/>
      <c r="O28" s="30"/>
      <c r="P28" s="30"/>
      <c r="Q28" s="401">
        <f t="shared" ref="Q28:AJ28" si="6">SUM(Q27)</f>
        <v>0</v>
      </c>
      <c r="R28" s="401">
        <f t="shared" si="6"/>
        <v>0</v>
      </c>
      <c r="S28" s="401">
        <f t="shared" si="6"/>
        <v>0</v>
      </c>
      <c r="T28" s="401">
        <f t="shared" si="6"/>
        <v>0</v>
      </c>
      <c r="U28" s="401">
        <f t="shared" si="6"/>
        <v>0</v>
      </c>
      <c r="V28" s="401">
        <f t="shared" si="6"/>
        <v>0</v>
      </c>
      <c r="W28" s="401">
        <f t="shared" si="6"/>
        <v>0</v>
      </c>
      <c r="X28" s="401">
        <f t="shared" si="6"/>
        <v>0</v>
      </c>
      <c r="Y28" s="401">
        <f t="shared" si="6"/>
        <v>0</v>
      </c>
      <c r="Z28" s="401">
        <f t="shared" si="6"/>
        <v>0</v>
      </c>
      <c r="AA28" s="401">
        <f t="shared" si="6"/>
        <v>0</v>
      </c>
      <c r="AB28" s="401">
        <f t="shared" si="6"/>
        <v>0</v>
      </c>
      <c r="AC28" s="401">
        <f t="shared" si="6"/>
        <v>0</v>
      </c>
      <c r="AD28" s="401">
        <f t="shared" si="6"/>
        <v>0</v>
      </c>
      <c r="AE28" s="401">
        <f t="shared" si="6"/>
        <v>0</v>
      </c>
      <c r="AF28" s="401">
        <f t="shared" si="6"/>
        <v>18000000</v>
      </c>
      <c r="AG28" s="401">
        <f t="shared" si="6"/>
        <v>0</v>
      </c>
      <c r="AH28" s="401">
        <f t="shared" si="6"/>
        <v>0</v>
      </c>
      <c r="AI28" s="401">
        <f t="shared" si="6"/>
        <v>0</v>
      </c>
      <c r="AJ28" s="401">
        <f t="shared" si="6"/>
        <v>0</v>
      </c>
      <c r="AK28" s="401">
        <f>SUM(AK27)</f>
        <v>18000000</v>
      </c>
    </row>
    <row r="29" spans="1:37" ht="30" customHeight="1" x14ac:dyDescent="0.2">
      <c r="A29" s="16"/>
      <c r="B29" s="16"/>
      <c r="C29" s="105"/>
      <c r="D29" s="44"/>
      <c r="E29" s="116"/>
      <c r="F29" s="116"/>
      <c r="G29" s="44"/>
      <c r="H29" s="116"/>
      <c r="I29" s="44"/>
      <c r="J29" s="45"/>
      <c r="K29" s="55"/>
      <c r="L29" s="55"/>
      <c r="M29" s="62"/>
      <c r="N29" s="116"/>
      <c r="O29" s="44"/>
      <c r="P29" s="116"/>
      <c r="Q29" s="350"/>
      <c r="R29" s="351"/>
      <c r="S29" s="350"/>
      <c r="T29" s="350"/>
      <c r="U29" s="350"/>
      <c r="V29" s="350"/>
      <c r="W29" s="350"/>
      <c r="X29" s="350"/>
      <c r="Y29" s="350"/>
      <c r="Z29" s="350"/>
      <c r="AA29" s="350"/>
      <c r="AB29" s="351"/>
      <c r="AC29" s="351"/>
      <c r="AD29" s="350"/>
      <c r="AE29" s="350"/>
      <c r="AF29" s="352"/>
      <c r="AG29" s="353"/>
      <c r="AH29" s="350"/>
      <c r="AI29" s="350"/>
      <c r="AJ29" s="351"/>
      <c r="AK29" s="354"/>
    </row>
    <row r="30" spans="1:37" ht="30" customHeight="1" x14ac:dyDescent="0.2">
      <c r="A30" s="16"/>
      <c r="B30" s="16"/>
      <c r="C30" s="648"/>
      <c r="D30" s="642"/>
      <c r="E30" s="648"/>
      <c r="F30" s="648"/>
      <c r="G30" s="108">
        <v>84</v>
      </c>
      <c r="H30" s="51" t="s">
        <v>63</v>
      </c>
      <c r="I30" s="30"/>
      <c r="J30" s="30"/>
      <c r="K30" s="30"/>
      <c r="L30" s="30"/>
      <c r="M30" s="30"/>
      <c r="N30" s="30"/>
      <c r="O30" s="30"/>
      <c r="P30" s="30"/>
      <c r="Q30" s="401"/>
      <c r="R30" s="401"/>
      <c r="S30" s="401"/>
      <c r="T30" s="401"/>
      <c r="U30" s="401"/>
      <c r="V30" s="401"/>
      <c r="W30" s="401"/>
      <c r="X30" s="401"/>
      <c r="Y30" s="401"/>
      <c r="Z30" s="401"/>
      <c r="AA30" s="401"/>
      <c r="AB30" s="401"/>
      <c r="AC30" s="401"/>
      <c r="AD30" s="401"/>
      <c r="AE30" s="401"/>
      <c r="AF30" s="401"/>
      <c r="AG30" s="401"/>
      <c r="AH30" s="401"/>
      <c r="AI30" s="401"/>
      <c r="AJ30" s="401"/>
      <c r="AK30" s="401"/>
    </row>
    <row r="31" spans="1:37" ht="66" customHeight="1" x14ac:dyDescent="0.2">
      <c r="A31" s="16"/>
      <c r="B31" s="16"/>
      <c r="C31" s="638">
        <v>37</v>
      </c>
      <c r="D31" s="643" t="s">
        <v>59</v>
      </c>
      <c r="E31" s="640" t="s">
        <v>60</v>
      </c>
      <c r="F31" s="646">
        <v>0.6</v>
      </c>
      <c r="G31" s="665"/>
      <c r="H31" s="673">
        <v>248</v>
      </c>
      <c r="I31" s="665" t="s">
        <v>64</v>
      </c>
      <c r="J31" s="18" t="s">
        <v>32</v>
      </c>
      <c r="K31" s="19">
        <v>12</v>
      </c>
      <c r="L31" s="20">
        <v>2017003630053</v>
      </c>
      <c r="M31" s="21" t="s">
        <v>33</v>
      </c>
      <c r="N31" s="673" t="s">
        <v>65</v>
      </c>
      <c r="O31" s="665" t="s">
        <v>855</v>
      </c>
      <c r="P31" s="673" t="s">
        <v>41</v>
      </c>
      <c r="Q31" s="346">
        <v>0</v>
      </c>
      <c r="R31" s="346">
        <v>0</v>
      </c>
      <c r="S31" s="346">
        <v>0</v>
      </c>
      <c r="T31" s="346">
        <v>0</v>
      </c>
      <c r="U31" s="346">
        <v>0</v>
      </c>
      <c r="V31" s="346">
        <v>0</v>
      </c>
      <c r="W31" s="346">
        <v>0</v>
      </c>
      <c r="X31" s="346"/>
      <c r="Y31" s="346"/>
      <c r="Z31" s="346">
        <v>0</v>
      </c>
      <c r="AA31" s="346">
        <v>0</v>
      </c>
      <c r="AB31" s="346"/>
      <c r="AC31" s="346"/>
      <c r="AD31" s="346">
        <v>0</v>
      </c>
      <c r="AE31" s="346">
        <v>0</v>
      </c>
      <c r="AF31" s="347">
        <v>29000000</v>
      </c>
      <c r="AG31" s="347"/>
      <c r="AH31" s="346">
        <v>0</v>
      </c>
      <c r="AI31" s="348"/>
      <c r="AJ31" s="348">
        <v>0</v>
      </c>
      <c r="AK31" s="346">
        <f>Q31+R31+S31+T31+U31+V31+W31+X31+Y31+Z31+AA31+AB31+AC31+AD31+AE31+AF31+AG31+AH31+AI31+AJ31</f>
        <v>29000000</v>
      </c>
    </row>
    <row r="32" spans="1:37" s="557" customFormat="1" ht="30" customHeight="1" x14ac:dyDescent="0.25">
      <c r="A32" s="16"/>
      <c r="B32" s="29"/>
      <c r="C32" s="649"/>
      <c r="D32" s="644"/>
      <c r="E32" s="649"/>
      <c r="F32" s="649"/>
      <c r="G32" s="30"/>
      <c r="H32" s="31"/>
      <c r="I32" s="30"/>
      <c r="J32" s="32"/>
      <c r="K32" s="56"/>
      <c r="L32" s="56"/>
      <c r="M32" s="151"/>
      <c r="N32" s="31"/>
      <c r="O32" s="30"/>
      <c r="P32" s="31"/>
      <c r="Q32" s="355">
        <f t="shared" ref="Q32:AK32" si="7">Q31</f>
        <v>0</v>
      </c>
      <c r="R32" s="355">
        <f t="shared" si="7"/>
        <v>0</v>
      </c>
      <c r="S32" s="355">
        <f t="shared" si="7"/>
        <v>0</v>
      </c>
      <c r="T32" s="355">
        <f t="shared" si="7"/>
        <v>0</v>
      </c>
      <c r="U32" s="355">
        <f t="shared" si="7"/>
        <v>0</v>
      </c>
      <c r="V32" s="355">
        <f t="shared" si="7"/>
        <v>0</v>
      </c>
      <c r="W32" s="355">
        <f t="shared" si="7"/>
        <v>0</v>
      </c>
      <c r="X32" s="355">
        <f t="shared" si="7"/>
        <v>0</v>
      </c>
      <c r="Y32" s="355">
        <f t="shared" si="7"/>
        <v>0</v>
      </c>
      <c r="Z32" s="355">
        <f t="shared" si="7"/>
        <v>0</v>
      </c>
      <c r="AA32" s="355">
        <f t="shared" si="7"/>
        <v>0</v>
      </c>
      <c r="AB32" s="355">
        <f t="shared" si="7"/>
        <v>0</v>
      </c>
      <c r="AC32" s="355">
        <f t="shared" si="7"/>
        <v>0</v>
      </c>
      <c r="AD32" s="355">
        <f t="shared" si="7"/>
        <v>0</v>
      </c>
      <c r="AE32" s="355">
        <f t="shared" si="7"/>
        <v>0</v>
      </c>
      <c r="AF32" s="355">
        <f t="shared" si="7"/>
        <v>29000000</v>
      </c>
      <c r="AG32" s="355">
        <f t="shared" si="7"/>
        <v>0</v>
      </c>
      <c r="AH32" s="355">
        <f t="shared" si="7"/>
        <v>0</v>
      </c>
      <c r="AI32" s="355">
        <f t="shared" si="7"/>
        <v>0</v>
      </c>
      <c r="AJ32" s="355">
        <f t="shared" si="7"/>
        <v>0</v>
      </c>
      <c r="AK32" s="355">
        <f t="shared" si="7"/>
        <v>29000000</v>
      </c>
    </row>
    <row r="33" spans="1:37" ht="30" customHeight="1" x14ac:dyDescent="0.2">
      <c r="A33" s="16"/>
      <c r="B33" s="57"/>
      <c r="C33" s="58"/>
      <c r="D33" s="57"/>
      <c r="E33" s="58"/>
      <c r="F33" s="58"/>
      <c r="G33" s="57"/>
      <c r="H33" s="58"/>
      <c r="I33" s="57"/>
      <c r="J33" s="59"/>
      <c r="K33" s="60"/>
      <c r="L33" s="60"/>
      <c r="M33" s="61"/>
      <c r="N33" s="58"/>
      <c r="O33" s="57"/>
      <c r="P33" s="58"/>
      <c r="Q33" s="356">
        <f t="shared" ref="Q33:AK33" si="8">Q28+Q32</f>
        <v>0</v>
      </c>
      <c r="R33" s="356">
        <f t="shared" si="8"/>
        <v>0</v>
      </c>
      <c r="S33" s="356">
        <f t="shared" si="8"/>
        <v>0</v>
      </c>
      <c r="T33" s="356">
        <f t="shared" si="8"/>
        <v>0</v>
      </c>
      <c r="U33" s="356">
        <f t="shared" si="8"/>
        <v>0</v>
      </c>
      <c r="V33" s="356">
        <f t="shared" si="8"/>
        <v>0</v>
      </c>
      <c r="W33" s="356">
        <f t="shared" si="8"/>
        <v>0</v>
      </c>
      <c r="X33" s="356">
        <f t="shared" si="8"/>
        <v>0</v>
      </c>
      <c r="Y33" s="356">
        <f t="shared" si="8"/>
        <v>0</v>
      </c>
      <c r="Z33" s="356">
        <f t="shared" si="8"/>
        <v>0</v>
      </c>
      <c r="AA33" s="356">
        <f t="shared" si="8"/>
        <v>0</v>
      </c>
      <c r="AB33" s="356">
        <f t="shared" si="8"/>
        <v>0</v>
      </c>
      <c r="AC33" s="356">
        <f t="shared" si="8"/>
        <v>0</v>
      </c>
      <c r="AD33" s="356">
        <f t="shared" si="8"/>
        <v>0</v>
      </c>
      <c r="AE33" s="356">
        <f t="shared" si="8"/>
        <v>0</v>
      </c>
      <c r="AF33" s="356">
        <f t="shared" si="8"/>
        <v>47000000</v>
      </c>
      <c r="AG33" s="356">
        <f t="shared" si="8"/>
        <v>0</v>
      </c>
      <c r="AH33" s="356">
        <f t="shared" si="8"/>
        <v>0</v>
      </c>
      <c r="AI33" s="356">
        <f t="shared" si="8"/>
        <v>0</v>
      </c>
      <c r="AJ33" s="356">
        <f t="shared" si="8"/>
        <v>0</v>
      </c>
      <c r="AK33" s="356">
        <f t="shared" si="8"/>
        <v>47000000</v>
      </c>
    </row>
    <row r="34" spans="1:37" ht="30" customHeight="1" x14ac:dyDescent="0.2">
      <c r="A34" s="16"/>
      <c r="B34" s="44"/>
      <c r="C34" s="116"/>
      <c r="D34" s="44"/>
      <c r="E34" s="116"/>
      <c r="F34" s="116"/>
      <c r="G34" s="44"/>
      <c r="H34" s="116"/>
      <c r="I34" s="44"/>
      <c r="J34" s="45"/>
      <c r="K34" s="55"/>
      <c r="L34" s="55"/>
      <c r="M34" s="62"/>
      <c r="N34" s="116"/>
      <c r="O34" s="44"/>
      <c r="P34" s="116"/>
      <c r="Q34" s="350"/>
      <c r="R34" s="351"/>
      <c r="S34" s="350"/>
      <c r="T34" s="350"/>
      <c r="U34" s="350"/>
      <c r="V34" s="350"/>
      <c r="W34" s="350"/>
      <c r="X34" s="350"/>
      <c r="Y34" s="350"/>
      <c r="Z34" s="350"/>
      <c r="AA34" s="350"/>
      <c r="AB34" s="351"/>
      <c r="AC34" s="351"/>
      <c r="AD34" s="350"/>
      <c r="AE34" s="350"/>
      <c r="AF34" s="352"/>
      <c r="AG34" s="350"/>
      <c r="AH34" s="350"/>
      <c r="AI34" s="350"/>
      <c r="AJ34" s="351"/>
      <c r="AK34" s="350"/>
    </row>
    <row r="35" spans="1:37" ht="30" customHeight="1" x14ac:dyDescent="0.2">
      <c r="A35" s="16"/>
      <c r="B35" s="11">
        <v>27</v>
      </c>
      <c r="C35" s="11" t="s">
        <v>66</v>
      </c>
      <c r="D35" s="12"/>
      <c r="E35" s="12"/>
      <c r="F35" s="12"/>
      <c r="G35" s="12"/>
      <c r="H35" s="13"/>
      <c r="I35" s="12"/>
      <c r="J35" s="12"/>
      <c r="K35" s="63"/>
      <c r="L35" s="63"/>
      <c r="M35" s="579"/>
      <c r="N35" s="13"/>
      <c r="O35" s="12"/>
      <c r="P35" s="12"/>
      <c r="Q35" s="357"/>
      <c r="R35" s="357"/>
      <c r="S35" s="357"/>
      <c r="T35" s="357"/>
      <c r="U35" s="357"/>
      <c r="V35" s="357"/>
      <c r="W35" s="357"/>
      <c r="X35" s="357"/>
      <c r="Y35" s="357"/>
      <c r="Z35" s="357"/>
      <c r="AA35" s="357"/>
      <c r="AB35" s="357"/>
      <c r="AC35" s="357"/>
      <c r="AD35" s="357"/>
      <c r="AE35" s="357"/>
      <c r="AF35" s="358"/>
      <c r="AG35" s="357"/>
      <c r="AH35" s="357"/>
      <c r="AI35" s="357"/>
      <c r="AJ35" s="357"/>
      <c r="AK35" s="357"/>
    </row>
    <row r="36" spans="1:37" ht="30" customHeight="1" x14ac:dyDescent="0.2">
      <c r="A36" s="16"/>
      <c r="B36" s="17"/>
      <c r="C36" s="648"/>
      <c r="D36" s="17"/>
      <c r="E36" s="17"/>
      <c r="F36" s="17"/>
      <c r="G36" s="50">
        <v>85</v>
      </c>
      <c r="H36" s="51" t="s">
        <v>67</v>
      </c>
      <c r="I36" s="52"/>
      <c r="J36" s="52"/>
      <c r="K36" s="64"/>
      <c r="L36" s="64"/>
      <c r="M36" s="581"/>
      <c r="N36" s="136"/>
      <c r="O36" s="52"/>
      <c r="P36" s="52"/>
      <c r="Q36" s="231"/>
      <c r="R36" s="231"/>
      <c r="S36" s="231"/>
      <c r="T36" s="231"/>
      <c r="U36" s="231"/>
      <c r="V36" s="231"/>
      <c r="W36" s="231"/>
      <c r="X36" s="231"/>
      <c r="Y36" s="231"/>
      <c r="Z36" s="231"/>
      <c r="AA36" s="231"/>
      <c r="AB36" s="231"/>
      <c r="AC36" s="231"/>
      <c r="AD36" s="231"/>
      <c r="AE36" s="231"/>
      <c r="AF36" s="359"/>
      <c r="AG36" s="231"/>
      <c r="AH36" s="231"/>
      <c r="AI36" s="231"/>
      <c r="AJ36" s="231"/>
      <c r="AK36" s="233"/>
    </row>
    <row r="37" spans="1:37" ht="64.5" customHeight="1" x14ac:dyDescent="0.2">
      <c r="A37" s="16"/>
      <c r="B37" s="23"/>
      <c r="C37" s="638">
        <v>37</v>
      </c>
      <c r="D37" s="643" t="s">
        <v>59</v>
      </c>
      <c r="E37" s="640" t="s">
        <v>60</v>
      </c>
      <c r="F37" s="646">
        <v>0.6</v>
      </c>
      <c r="G37" s="642"/>
      <c r="H37" s="648">
        <v>249</v>
      </c>
      <c r="I37" s="665" t="s">
        <v>68</v>
      </c>
      <c r="J37" s="18">
        <v>1</v>
      </c>
      <c r="K37" s="19">
        <v>1</v>
      </c>
      <c r="L37" s="20">
        <v>2017003630052</v>
      </c>
      <c r="M37" s="21" t="s">
        <v>69</v>
      </c>
      <c r="N37" s="673" t="s">
        <v>70</v>
      </c>
      <c r="O37" s="665" t="s">
        <v>71</v>
      </c>
      <c r="P37" s="673" t="s">
        <v>41</v>
      </c>
      <c r="Q37" s="346">
        <v>0</v>
      </c>
      <c r="R37" s="346">
        <v>0</v>
      </c>
      <c r="S37" s="346">
        <v>0</v>
      </c>
      <c r="T37" s="346">
        <v>0</v>
      </c>
      <c r="U37" s="346">
        <v>0</v>
      </c>
      <c r="V37" s="346">
        <v>0</v>
      </c>
      <c r="W37" s="346">
        <v>0</v>
      </c>
      <c r="X37" s="346"/>
      <c r="Y37" s="346"/>
      <c r="Z37" s="346">
        <v>0</v>
      </c>
      <c r="AA37" s="346">
        <v>0</v>
      </c>
      <c r="AB37" s="346"/>
      <c r="AC37" s="346"/>
      <c r="AD37" s="346">
        <v>0</v>
      </c>
      <c r="AE37" s="346">
        <v>0</v>
      </c>
      <c r="AF37" s="347">
        <v>120000000</v>
      </c>
      <c r="AG37" s="360"/>
      <c r="AH37" s="346">
        <v>0</v>
      </c>
      <c r="AI37" s="348"/>
      <c r="AJ37" s="348">
        <v>0</v>
      </c>
      <c r="AK37" s="346">
        <f>Q37+R37+S37+T37+U37+V37+W37+X37+Y37+Z37+AA37+AB37+AC37+AD37+AE37+AF37+AG37+AH37+AI37+AJ37</f>
        <v>120000000</v>
      </c>
    </row>
    <row r="38" spans="1:37" ht="30" customHeight="1" x14ac:dyDescent="0.2">
      <c r="A38" s="16"/>
      <c r="B38" s="65"/>
      <c r="C38" s="649"/>
      <c r="D38" s="644"/>
      <c r="E38" s="649"/>
      <c r="F38" s="649"/>
      <c r="G38" s="66"/>
      <c r="H38" s="67"/>
      <c r="I38" s="30"/>
      <c r="J38" s="32"/>
      <c r="K38" s="56"/>
      <c r="L38" s="56"/>
      <c r="M38" s="151"/>
      <c r="N38" s="31"/>
      <c r="O38" s="30"/>
      <c r="P38" s="31"/>
      <c r="Q38" s="355">
        <f t="shared" ref="Q38:AJ38" si="9">SUM(Q37)</f>
        <v>0</v>
      </c>
      <c r="R38" s="355">
        <f t="shared" si="9"/>
        <v>0</v>
      </c>
      <c r="S38" s="355">
        <f t="shared" si="9"/>
        <v>0</v>
      </c>
      <c r="T38" s="355">
        <f t="shared" si="9"/>
        <v>0</v>
      </c>
      <c r="U38" s="355">
        <f t="shared" si="9"/>
        <v>0</v>
      </c>
      <c r="V38" s="355">
        <f t="shared" si="9"/>
        <v>0</v>
      </c>
      <c r="W38" s="355">
        <f t="shared" si="9"/>
        <v>0</v>
      </c>
      <c r="X38" s="355">
        <f t="shared" si="9"/>
        <v>0</v>
      </c>
      <c r="Y38" s="355">
        <f t="shared" si="9"/>
        <v>0</v>
      </c>
      <c r="Z38" s="355">
        <f t="shared" si="9"/>
        <v>0</v>
      </c>
      <c r="AA38" s="355">
        <f t="shared" si="9"/>
        <v>0</v>
      </c>
      <c r="AB38" s="355">
        <f t="shared" si="9"/>
        <v>0</v>
      </c>
      <c r="AC38" s="355">
        <f t="shared" si="9"/>
        <v>0</v>
      </c>
      <c r="AD38" s="355">
        <f t="shared" si="9"/>
        <v>0</v>
      </c>
      <c r="AE38" s="355">
        <f t="shared" si="9"/>
        <v>0</v>
      </c>
      <c r="AF38" s="355">
        <f t="shared" si="9"/>
        <v>120000000</v>
      </c>
      <c r="AG38" s="355">
        <f t="shared" si="9"/>
        <v>0</v>
      </c>
      <c r="AH38" s="355">
        <f t="shared" si="9"/>
        <v>0</v>
      </c>
      <c r="AI38" s="355">
        <f t="shared" si="9"/>
        <v>0</v>
      </c>
      <c r="AJ38" s="355">
        <f t="shared" si="9"/>
        <v>0</v>
      </c>
      <c r="AK38" s="355">
        <f>SUM(AK37)</f>
        <v>120000000</v>
      </c>
    </row>
    <row r="39" spans="1:37" ht="30" customHeight="1" x14ac:dyDescent="0.2">
      <c r="A39" s="16"/>
      <c r="B39" s="68"/>
      <c r="C39" s="69"/>
      <c r="D39" s="57"/>
      <c r="E39" s="58"/>
      <c r="F39" s="70"/>
      <c r="G39" s="71"/>
      <c r="H39" s="72"/>
      <c r="I39" s="34"/>
      <c r="J39" s="36"/>
      <c r="K39" s="73"/>
      <c r="L39" s="73"/>
      <c r="M39" s="303"/>
      <c r="N39" s="35"/>
      <c r="O39" s="34"/>
      <c r="P39" s="35"/>
      <c r="Q39" s="361">
        <f t="shared" ref="Q39:AK39" si="10">Q38</f>
        <v>0</v>
      </c>
      <c r="R39" s="361">
        <f t="shared" si="10"/>
        <v>0</v>
      </c>
      <c r="S39" s="361">
        <f t="shared" si="10"/>
        <v>0</v>
      </c>
      <c r="T39" s="361">
        <f t="shared" si="10"/>
        <v>0</v>
      </c>
      <c r="U39" s="361">
        <f t="shared" si="10"/>
        <v>0</v>
      </c>
      <c r="V39" s="361">
        <f t="shared" si="10"/>
        <v>0</v>
      </c>
      <c r="W39" s="361">
        <f t="shared" si="10"/>
        <v>0</v>
      </c>
      <c r="X39" s="361">
        <f t="shared" si="10"/>
        <v>0</v>
      </c>
      <c r="Y39" s="361">
        <f t="shared" si="10"/>
        <v>0</v>
      </c>
      <c r="Z39" s="361">
        <f t="shared" si="10"/>
        <v>0</v>
      </c>
      <c r="AA39" s="361">
        <f t="shared" si="10"/>
        <v>0</v>
      </c>
      <c r="AB39" s="361">
        <f t="shared" si="10"/>
        <v>0</v>
      </c>
      <c r="AC39" s="361">
        <f t="shared" si="10"/>
        <v>0</v>
      </c>
      <c r="AD39" s="361">
        <f t="shared" si="10"/>
        <v>0</v>
      </c>
      <c r="AE39" s="361">
        <f t="shared" si="10"/>
        <v>0</v>
      </c>
      <c r="AF39" s="361">
        <f t="shared" si="10"/>
        <v>120000000</v>
      </c>
      <c r="AG39" s="361">
        <f t="shared" si="10"/>
        <v>0</v>
      </c>
      <c r="AH39" s="361">
        <f t="shared" si="10"/>
        <v>0</v>
      </c>
      <c r="AI39" s="361">
        <f t="shared" si="10"/>
        <v>0</v>
      </c>
      <c r="AJ39" s="361">
        <f t="shared" si="10"/>
        <v>0</v>
      </c>
      <c r="AK39" s="361">
        <f t="shared" si="10"/>
        <v>120000000</v>
      </c>
    </row>
    <row r="40" spans="1:37" ht="30" customHeight="1" x14ac:dyDescent="0.2">
      <c r="A40" s="16"/>
      <c r="B40" s="44"/>
      <c r="C40" s="116"/>
      <c r="D40" s="44"/>
      <c r="E40" s="116"/>
      <c r="F40" s="116"/>
      <c r="G40" s="74"/>
      <c r="H40" s="345"/>
      <c r="I40" s="44"/>
      <c r="J40" s="45"/>
      <c r="K40" s="55"/>
      <c r="L40" s="55"/>
      <c r="M40" s="62"/>
      <c r="N40" s="116"/>
      <c r="O40" s="44"/>
      <c r="P40" s="116"/>
      <c r="Q40" s="350"/>
      <c r="R40" s="351"/>
      <c r="S40" s="350"/>
      <c r="T40" s="350"/>
      <c r="U40" s="350"/>
      <c r="V40" s="350"/>
      <c r="W40" s="350"/>
      <c r="X40" s="350"/>
      <c r="Y40" s="350"/>
      <c r="Z40" s="350"/>
      <c r="AA40" s="350"/>
      <c r="AB40" s="351"/>
      <c r="AC40" s="351"/>
      <c r="AD40" s="350"/>
      <c r="AE40" s="350"/>
      <c r="AF40" s="352"/>
      <c r="AG40" s="353"/>
      <c r="AH40" s="350"/>
      <c r="AI40" s="350"/>
      <c r="AJ40" s="350"/>
      <c r="AK40" s="350"/>
    </row>
    <row r="41" spans="1:37" ht="30" customHeight="1" x14ac:dyDescent="0.2">
      <c r="A41" s="16"/>
      <c r="B41" s="75">
        <v>28</v>
      </c>
      <c r="C41" s="76" t="s">
        <v>27</v>
      </c>
      <c r="D41" s="12"/>
      <c r="E41" s="12"/>
      <c r="F41" s="12"/>
      <c r="G41" s="12"/>
      <c r="H41" s="13"/>
      <c r="I41" s="12"/>
      <c r="J41" s="12"/>
      <c r="K41" s="63"/>
      <c r="L41" s="63"/>
      <c r="M41" s="579"/>
      <c r="N41" s="13"/>
      <c r="O41" s="12"/>
      <c r="P41" s="12"/>
      <c r="Q41" s="357"/>
      <c r="R41" s="357"/>
      <c r="S41" s="357"/>
      <c r="T41" s="357"/>
      <c r="U41" s="357"/>
      <c r="V41" s="357"/>
      <c r="W41" s="357"/>
      <c r="X41" s="357"/>
      <c r="Y41" s="357"/>
      <c r="Z41" s="357"/>
      <c r="AA41" s="357"/>
      <c r="AB41" s="357"/>
      <c r="AC41" s="357"/>
      <c r="AD41" s="357"/>
      <c r="AE41" s="357"/>
      <c r="AF41" s="358"/>
      <c r="AG41" s="357"/>
      <c r="AH41" s="357"/>
      <c r="AI41" s="357"/>
      <c r="AJ41" s="357"/>
      <c r="AK41" s="362"/>
    </row>
    <row r="42" spans="1:37" ht="30" customHeight="1" x14ac:dyDescent="0.2">
      <c r="A42" s="16"/>
      <c r="B42" s="17"/>
      <c r="C42" s="542"/>
      <c r="D42" s="74"/>
      <c r="E42" s="345"/>
      <c r="F42" s="654"/>
      <c r="G42" s="463">
        <v>87</v>
      </c>
      <c r="H42" s="77" t="s">
        <v>72</v>
      </c>
      <c r="I42" s="78"/>
      <c r="J42" s="78"/>
      <c r="K42" s="79"/>
      <c r="L42" s="79"/>
      <c r="M42" s="582"/>
      <c r="N42" s="336"/>
      <c r="O42" s="78"/>
      <c r="P42" s="78"/>
      <c r="Q42" s="363"/>
      <c r="R42" s="363"/>
      <c r="S42" s="363"/>
      <c r="T42" s="363"/>
      <c r="U42" s="363"/>
      <c r="V42" s="363"/>
      <c r="W42" s="363"/>
      <c r="X42" s="363"/>
      <c r="Y42" s="363"/>
      <c r="Z42" s="363"/>
      <c r="AA42" s="363"/>
      <c r="AB42" s="363"/>
      <c r="AC42" s="363"/>
      <c r="AD42" s="363"/>
      <c r="AE42" s="363"/>
      <c r="AF42" s="364"/>
      <c r="AG42" s="363"/>
      <c r="AH42" s="363"/>
      <c r="AI42" s="363"/>
      <c r="AJ42" s="363"/>
      <c r="AK42" s="365"/>
    </row>
    <row r="43" spans="1:37" ht="50.25" customHeight="1" x14ac:dyDescent="0.2">
      <c r="A43" s="16"/>
      <c r="B43" s="23"/>
      <c r="C43" s="732">
        <v>38</v>
      </c>
      <c r="D43" s="735" t="s">
        <v>42</v>
      </c>
      <c r="E43" s="732">
        <v>0</v>
      </c>
      <c r="F43" s="732">
        <v>2</v>
      </c>
      <c r="G43" s="23"/>
      <c r="H43" s="673">
        <v>257</v>
      </c>
      <c r="I43" s="665" t="s">
        <v>73</v>
      </c>
      <c r="J43" s="673">
        <v>0</v>
      </c>
      <c r="K43" s="80">
        <v>1</v>
      </c>
      <c r="L43" s="743">
        <v>2017003630022</v>
      </c>
      <c r="M43" s="734" t="s">
        <v>33</v>
      </c>
      <c r="N43" s="731" t="s">
        <v>74</v>
      </c>
      <c r="O43" s="746" t="s">
        <v>856</v>
      </c>
      <c r="P43" s="81" t="s">
        <v>41</v>
      </c>
      <c r="Q43" s="346">
        <v>0</v>
      </c>
      <c r="R43" s="346">
        <v>0</v>
      </c>
      <c r="S43" s="346">
        <v>0</v>
      </c>
      <c r="T43" s="346">
        <v>0</v>
      </c>
      <c r="U43" s="346">
        <v>0</v>
      </c>
      <c r="V43" s="346">
        <v>0</v>
      </c>
      <c r="W43" s="346">
        <v>0</v>
      </c>
      <c r="X43" s="346"/>
      <c r="Y43" s="346"/>
      <c r="Z43" s="346">
        <v>0</v>
      </c>
      <c r="AA43" s="346">
        <v>0</v>
      </c>
      <c r="AB43" s="346"/>
      <c r="AC43" s="346"/>
      <c r="AD43" s="346">
        <v>0</v>
      </c>
      <c r="AE43" s="346">
        <v>0</v>
      </c>
      <c r="AF43" s="547">
        <f>62000000+10000000-10000000+43920000</f>
        <v>105920000</v>
      </c>
      <c r="AG43" s="347"/>
      <c r="AH43" s="346"/>
      <c r="AI43" s="348"/>
      <c r="AJ43" s="348">
        <v>0</v>
      </c>
      <c r="AK43" s="346">
        <f t="shared" ref="AK43:AK60" si="11">Q43+R43+S43+T43+U43+V43+W43+X43+Y43+Z43+AA43+AB43+AC43+AD43+AE43+AF43+AG43+AH43+AI43+AJ43</f>
        <v>105920000</v>
      </c>
    </row>
    <row r="44" spans="1:37" ht="81" customHeight="1" x14ac:dyDescent="0.2">
      <c r="A44" s="16"/>
      <c r="B44" s="23"/>
      <c r="C44" s="732"/>
      <c r="D44" s="735"/>
      <c r="E44" s="732"/>
      <c r="F44" s="732"/>
      <c r="G44" s="23"/>
      <c r="H44" s="673">
        <v>258</v>
      </c>
      <c r="I44" s="665" t="s">
        <v>75</v>
      </c>
      <c r="J44" s="673">
        <v>0</v>
      </c>
      <c r="K44" s="80">
        <v>1</v>
      </c>
      <c r="L44" s="744"/>
      <c r="M44" s="735"/>
      <c r="N44" s="732"/>
      <c r="O44" s="747"/>
      <c r="P44" s="81" t="s">
        <v>41</v>
      </c>
      <c r="Q44" s="346">
        <v>0</v>
      </c>
      <c r="R44" s="346">
        <v>0</v>
      </c>
      <c r="S44" s="346">
        <v>0</v>
      </c>
      <c r="T44" s="346">
        <v>0</v>
      </c>
      <c r="U44" s="346">
        <v>0</v>
      </c>
      <c r="V44" s="346">
        <v>0</v>
      </c>
      <c r="W44" s="346">
        <v>0</v>
      </c>
      <c r="X44" s="346"/>
      <c r="Y44" s="346"/>
      <c r="Z44" s="346">
        <v>0</v>
      </c>
      <c r="AA44" s="346">
        <v>0</v>
      </c>
      <c r="AB44" s="346"/>
      <c r="AC44" s="346"/>
      <c r="AD44" s="346">
        <v>0</v>
      </c>
      <c r="AE44" s="346">
        <v>0</v>
      </c>
      <c r="AF44" s="347">
        <v>30000000</v>
      </c>
      <c r="AG44" s="347"/>
      <c r="AH44" s="346">
        <v>0</v>
      </c>
      <c r="AI44" s="348"/>
      <c r="AJ44" s="348">
        <v>0</v>
      </c>
      <c r="AK44" s="346">
        <f t="shared" si="11"/>
        <v>30000000</v>
      </c>
    </row>
    <row r="45" spans="1:37" ht="55.5" customHeight="1" x14ac:dyDescent="0.2">
      <c r="A45" s="16"/>
      <c r="B45" s="23"/>
      <c r="C45" s="732"/>
      <c r="D45" s="735"/>
      <c r="E45" s="732"/>
      <c r="F45" s="732"/>
      <c r="G45" s="23"/>
      <c r="H45" s="673">
        <v>259</v>
      </c>
      <c r="I45" s="665" t="s">
        <v>76</v>
      </c>
      <c r="J45" s="18">
        <v>1</v>
      </c>
      <c r="K45" s="19">
        <v>1</v>
      </c>
      <c r="L45" s="744"/>
      <c r="M45" s="735"/>
      <c r="N45" s="732"/>
      <c r="O45" s="747"/>
      <c r="P45" s="81" t="s">
        <v>41</v>
      </c>
      <c r="Q45" s="346">
        <v>0</v>
      </c>
      <c r="R45" s="346">
        <v>0</v>
      </c>
      <c r="S45" s="346">
        <v>0</v>
      </c>
      <c r="T45" s="346">
        <v>0</v>
      </c>
      <c r="U45" s="346">
        <v>0</v>
      </c>
      <c r="V45" s="346">
        <v>0</v>
      </c>
      <c r="W45" s="346">
        <v>0</v>
      </c>
      <c r="X45" s="346"/>
      <c r="Y45" s="346"/>
      <c r="Z45" s="346">
        <v>0</v>
      </c>
      <c r="AA45" s="346">
        <v>0</v>
      </c>
      <c r="AB45" s="346"/>
      <c r="AC45" s="346"/>
      <c r="AD45" s="346">
        <v>0</v>
      </c>
      <c r="AE45" s="346">
        <v>0</v>
      </c>
      <c r="AF45" s="103">
        <v>9000000</v>
      </c>
      <c r="AG45" s="366"/>
      <c r="AH45" s="346">
        <v>0</v>
      </c>
      <c r="AI45" s="348"/>
      <c r="AJ45" s="348">
        <v>0</v>
      </c>
      <c r="AK45" s="346">
        <f t="shared" si="11"/>
        <v>9000000</v>
      </c>
    </row>
    <row r="46" spans="1:37" ht="48.75" customHeight="1" x14ac:dyDescent="0.2">
      <c r="A46" s="16"/>
      <c r="B46" s="23"/>
      <c r="C46" s="732"/>
      <c r="D46" s="735"/>
      <c r="E46" s="732"/>
      <c r="F46" s="732"/>
      <c r="G46" s="23"/>
      <c r="H46" s="673">
        <v>263</v>
      </c>
      <c r="I46" s="665" t="s">
        <v>77</v>
      </c>
      <c r="J46" s="18">
        <v>1</v>
      </c>
      <c r="K46" s="19">
        <v>1</v>
      </c>
      <c r="L46" s="744"/>
      <c r="M46" s="735"/>
      <c r="N46" s="732"/>
      <c r="O46" s="747"/>
      <c r="P46" s="81" t="s">
        <v>41</v>
      </c>
      <c r="Q46" s="346">
        <v>0</v>
      </c>
      <c r="R46" s="346">
        <v>0</v>
      </c>
      <c r="S46" s="346">
        <v>0</v>
      </c>
      <c r="T46" s="346">
        <v>0</v>
      </c>
      <c r="U46" s="346">
        <v>0</v>
      </c>
      <c r="V46" s="346">
        <v>0</v>
      </c>
      <c r="W46" s="346">
        <v>0</v>
      </c>
      <c r="X46" s="346"/>
      <c r="Y46" s="346"/>
      <c r="Z46" s="346">
        <v>0</v>
      </c>
      <c r="AA46" s="346">
        <v>0</v>
      </c>
      <c r="AB46" s="346"/>
      <c r="AC46" s="346"/>
      <c r="AD46" s="346">
        <v>0</v>
      </c>
      <c r="AE46" s="346">
        <v>0</v>
      </c>
      <c r="AF46" s="539">
        <f>50000000+30000000+17520000</f>
        <v>97520000</v>
      </c>
      <c r="AG46" s="366"/>
      <c r="AH46" s="346">
        <v>0</v>
      </c>
      <c r="AI46" s="348"/>
      <c r="AJ46" s="348">
        <v>0</v>
      </c>
      <c r="AK46" s="346">
        <f t="shared" si="11"/>
        <v>97520000</v>
      </c>
    </row>
    <row r="47" spans="1:37" ht="60" customHeight="1" x14ac:dyDescent="0.2">
      <c r="A47" s="16"/>
      <c r="B47" s="23"/>
      <c r="C47" s="733"/>
      <c r="D47" s="736"/>
      <c r="E47" s="733"/>
      <c r="F47" s="733"/>
      <c r="G47" s="23"/>
      <c r="H47" s="673">
        <v>261</v>
      </c>
      <c r="I47" s="665" t="s">
        <v>78</v>
      </c>
      <c r="J47" s="18">
        <v>1</v>
      </c>
      <c r="K47" s="19">
        <v>2</v>
      </c>
      <c r="L47" s="745"/>
      <c r="M47" s="736"/>
      <c r="N47" s="733"/>
      <c r="O47" s="748"/>
      <c r="P47" s="81" t="s">
        <v>41</v>
      </c>
      <c r="Q47" s="346">
        <v>0</v>
      </c>
      <c r="R47" s="346">
        <v>0</v>
      </c>
      <c r="S47" s="346">
        <v>0</v>
      </c>
      <c r="T47" s="346">
        <v>0</v>
      </c>
      <c r="U47" s="346">
        <v>0</v>
      </c>
      <c r="V47" s="346">
        <v>0</v>
      </c>
      <c r="W47" s="346">
        <v>0</v>
      </c>
      <c r="X47" s="346"/>
      <c r="Y47" s="346"/>
      <c r="Z47" s="346">
        <v>0</v>
      </c>
      <c r="AA47" s="346">
        <v>0</v>
      </c>
      <c r="AB47" s="346"/>
      <c r="AC47" s="346"/>
      <c r="AD47" s="346">
        <v>0</v>
      </c>
      <c r="AE47" s="346">
        <v>0</v>
      </c>
      <c r="AF47" s="548">
        <f>21000000+10000000+38560000</f>
        <v>69560000</v>
      </c>
      <c r="AG47" s="349"/>
      <c r="AH47" s="346">
        <v>0</v>
      </c>
      <c r="AI47" s="348"/>
      <c r="AJ47" s="348">
        <v>0</v>
      </c>
      <c r="AK47" s="346">
        <f t="shared" si="11"/>
        <v>69560000</v>
      </c>
    </row>
    <row r="48" spans="1:37" ht="85.5" customHeight="1" x14ac:dyDescent="0.2">
      <c r="A48" s="16"/>
      <c r="B48" s="23"/>
      <c r="C48" s="648">
        <v>38</v>
      </c>
      <c r="D48" s="642" t="s">
        <v>42</v>
      </c>
      <c r="E48" s="673">
        <v>0</v>
      </c>
      <c r="F48" s="673">
        <v>2</v>
      </c>
      <c r="G48" s="23"/>
      <c r="H48" s="673">
        <v>262</v>
      </c>
      <c r="I48" s="665" t="s">
        <v>79</v>
      </c>
      <c r="J48" s="18">
        <v>1</v>
      </c>
      <c r="K48" s="19">
        <v>1</v>
      </c>
      <c r="L48" s="20">
        <v>2017003630023</v>
      </c>
      <c r="M48" s="665" t="s">
        <v>33</v>
      </c>
      <c r="N48" s="673" t="s">
        <v>80</v>
      </c>
      <c r="O48" s="665" t="s">
        <v>857</v>
      </c>
      <c r="P48" s="81" t="s">
        <v>41</v>
      </c>
      <c r="Q48" s="346">
        <v>0</v>
      </c>
      <c r="R48" s="346">
        <v>0</v>
      </c>
      <c r="S48" s="346">
        <v>0</v>
      </c>
      <c r="T48" s="346">
        <v>0</v>
      </c>
      <c r="U48" s="346">
        <v>0</v>
      </c>
      <c r="V48" s="346">
        <v>0</v>
      </c>
      <c r="W48" s="346">
        <v>0</v>
      </c>
      <c r="X48" s="346"/>
      <c r="Y48" s="346"/>
      <c r="Z48" s="346">
        <v>0</v>
      </c>
      <c r="AA48" s="346">
        <v>0</v>
      </c>
      <c r="AB48" s="346"/>
      <c r="AC48" s="346"/>
      <c r="AD48" s="346">
        <v>0</v>
      </c>
      <c r="AE48" s="346">
        <v>0</v>
      </c>
      <c r="AF48" s="547">
        <f>30000000+78000000+9000000</f>
        <v>117000000</v>
      </c>
      <c r="AG48" s="360"/>
      <c r="AH48" s="346"/>
      <c r="AI48" s="348"/>
      <c r="AJ48" s="348">
        <v>0</v>
      </c>
      <c r="AK48" s="346">
        <f t="shared" si="11"/>
        <v>117000000</v>
      </c>
    </row>
    <row r="49" spans="1:37" ht="84" customHeight="1" x14ac:dyDescent="0.2">
      <c r="A49" s="16"/>
      <c r="B49" s="23"/>
      <c r="C49" s="648">
        <v>38</v>
      </c>
      <c r="D49" s="642" t="s">
        <v>42</v>
      </c>
      <c r="E49" s="673">
        <v>0</v>
      </c>
      <c r="F49" s="673">
        <v>2</v>
      </c>
      <c r="G49" s="23"/>
      <c r="H49" s="673">
        <v>264</v>
      </c>
      <c r="I49" s="665" t="s">
        <v>81</v>
      </c>
      <c r="J49" s="18">
        <v>0</v>
      </c>
      <c r="K49" s="19">
        <v>1</v>
      </c>
      <c r="L49" s="20">
        <v>2017003630043</v>
      </c>
      <c r="M49" s="665" t="s">
        <v>33</v>
      </c>
      <c r="N49" s="673" t="s">
        <v>82</v>
      </c>
      <c r="O49" s="665" t="s">
        <v>858</v>
      </c>
      <c r="P49" s="81" t="s">
        <v>41</v>
      </c>
      <c r="Q49" s="346">
        <v>0</v>
      </c>
      <c r="R49" s="346">
        <v>0</v>
      </c>
      <c r="S49" s="346">
        <v>0</v>
      </c>
      <c r="T49" s="346">
        <v>0</v>
      </c>
      <c r="U49" s="346">
        <v>0</v>
      </c>
      <c r="V49" s="346">
        <v>0</v>
      </c>
      <c r="W49" s="346">
        <v>0</v>
      </c>
      <c r="X49" s="346"/>
      <c r="Y49" s="346"/>
      <c r="Z49" s="346">
        <v>0</v>
      </c>
      <c r="AA49" s="346">
        <v>0</v>
      </c>
      <c r="AB49" s="346"/>
      <c r="AC49" s="346"/>
      <c r="AD49" s="346">
        <v>0</v>
      </c>
      <c r="AE49" s="346">
        <v>0</v>
      </c>
      <c r="AF49" s="547">
        <f>150000000+100000000-100000000</f>
        <v>150000000</v>
      </c>
      <c r="AG49" s="360"/>
      <c r="AH49" s="346">
        <v>0</v>
      </c>
      <c r="AI49" s="348"/>
      <c r="AJ49" s="348">
        <v>0</v>
      </c>
      <c r="AK49" s="346">
        <f t="shared" si="11"/>
        <v>150000000</v>
      </c>
    </row>
    <row r="50" spans="1:37" ht="81" customHeight="1" x14ac:dyDescent="0.2">
      <c r="A50" s="16"/>
      <c r="B50" s="23"/>
      <c r="C50" s="648">
        <v>38</v>
      </c>
      <c r="D50" s="642" t="s">
        <v>42</v>
      </c>
      <c r="E50" s="673">
        <v>0</v>
      </c>
      <c r="F50" s="673">
        <v>2</v>
      </c>
      <c r="G50" s="23"/>
      <c r="H50" s="673">
        <v>265</v>
      </c>
      <c r="I50" s="665" t="s">
        <v>83</v>
      </c>
      <c r="J50" s="673">
        <v>0</v>
      </c>
      <c r="K50" s="80">
        <v>1</v>
      </c>
      <c r="L50" s="20">
        <v>2017003630024</v>
      </c>
      <c r="M50" s="665" t="s">
        <v>84</v>
      </c>
      <c r="N50" s="673" t="s">
        <v>85</v>
      </c>
      <c r="O50" s="665" t="s">
        <v>859</v>
      </c>
      <c r="P50" s="81" t="s">
        <v>41</v>
      </c>
      <c r="Q50" s="346">
        <v>0</v>
      </c>
      <c r="R50" s="346">
        <v>0</v>
      </c>
      <c r="S50" s="346">
        <v>0</v>
      </c>
      <c r="T50" s="346">
        <v>0</v>
      </c>
      <c r="U50" s="346">
        <v>0</v>
      </c>
      <c r="V50" s="346">
        <v>0</v>
      </c>
      <c r="W50" s="346">
        <v>0</v>
      </c>
      <c r="X50" s="346"/>
      <c r="Y50" s="346"/>
      <c r="Z50" s="346">
        <v>0</v>
      </c>
      <c r="AA50" s="346">
        <v>0</v>
      </c>
      <c r="AB50" s="346"/>
      <c r="AC50" s="346"/>
      <c r="AD50" s="346">
        <v>0</v>
      </c>
      <c r="AE50" s="346">
        <v>0</v>
      </c>
      <c r="AF50" s="547">
        <f>456500000+135000000-9000000</f>
        <v>582500000</v>
      </c>
      <c r="AG50" s="360"/>
      <c r="AH50" s="346">
        <v>0</v>
      </c>
      <c r="AI50" s="348"/>
      <c r="AJ50" s="348">
        <v>0</v>
      </c>
      <c r="AK50" s="346">
        <f t="shared" si="11"/>
        <v>582500000</v>
      </c>
    </row>
    <row r="51" spans="1:37" ht="80.25" customHeight="1" x14ac:dyDescent="0.2">
      <c r="A51" s="16"/>
      <c r="B51" s="23"/>
      <c r="C51" s="673">
        <v>38</v>
      </c>
      <c r="D51" s="665" t="s">
        <v>42</v>
      </c>
      <c r="E51" s="673">
        <v>0</v>
      </c>
      <c r="F51" s="673">
        <v>2</v>
      </c>
      <c r="G51" s="23"/>
      <c r="H51" s="673">
        <v>266</v>
      </c>
      <c r="I51" s="665" t="s">
        <v>86</v>
      </c>
      <c r="J51" s="18">
        <v>1</v>
      </c>
      <c r="K51" s="19">
        <v>1</v>
      </c>
      <c r="L51" s="20">
        <v>2017003630084</v>
      </c>
      <c r="M51" s="665" t="s">
        <v>33</v>
      </c>
      <c r="N51" s="673" t="s">
        <v>87</v>
      </c>
      <c r="O51" s="665" t="s">
        <v>860</v>
      </c>
      <c r="P51" s="81" t="s">
        <v>41</v>
      </c>
      <c r="Q51" s="346">
        <v>0</v>
      </c>
      <c r="R51" s="346">
        <v>0</v>
      </c>
      <c r="S51" s="346">
        <v>0</v>
      </c>
      <c r="T51" s="346">
        <v>0</v>
      </c>
      <c r="U51" s="346">
        <v>0</v>
      </c>
      <c r="V51" s="346">
        <v>0</v>
      </c>
      <c r="W51" s="346">
        <v>0</v>
      </c>
      <c r="X51" s="346"/>
      <c r="Y51" s="346"/>
      <c r="Z51" s="346">
        <v>0</v>
      </c>
      <c r="AA51" s="346">
        <v>0</v>
      </c>
      <c r="AB51" s="346"/>
      <c r="AC51" s="346"/>
      <c r="AD51" s="346">
        <v>0</v>
      </c>
      <c r="AE51" s="346">
        <v>0</v>
      </c>
      <c r="AF51" s="547">
        <v>38500000</v>
      </c>
      <c r="AG51" s="360"/>
      <c r="AH51" s="346">
        <v>0</v>
      </c>
      <c r="AI51" s="348"/>
      <c r="AJ51" s="348">
        <v>0</v>
      </c>
      <c r="AK51" s="346">
        <f t="shared" si="11"/>
        <v>38500000</v>
      </c>
    </row>
    <row r="52" spans="1:37" ht="43.5" customHeight="1" x14ac:dyDescent="0.2">
      <c r="A52" s="16"/>
      <c r="B52" s="23"/>
      <c r="C52" s="731">
        <v>38</v>
      </c>
      <c r="D52" s="734" t="s">
        <v>42</v>
      </c>
      <c r="E52" s="731">
        <v>0</v>
      </c>
      <c r="F52" s="731">
        <v>2</v>
      </c>
      <c r="G52" s="23"/>
      <c r="H52" s="673">
        <v>267</v>
      </c>
      <c r="I52" s="665" t="s">
        <v>861</v>
      </c>
      <c r="J52" s="18">
        <v>1</v>
      </c>
      <c r="K52" s="19">
        <v>1</v>
      </c>
      <c r="L52" s="743">
        <v>2017003630025</v>
      </c>
      <c r="M52" s="737" t="s">
        <v>33</v>
      </c>
      <c r="N52" s="731" t="s">
        <v>88</v>
      </c>
      <c r="O52" s="734" t="s">
        <v>862</v>
      </c>
      <c r="P52" s="81" t="s">
        <v>41</v>
      </c>
      <c r="Q52" s="346">
        <v>0</v>
      </c>
      <c r="R52" s="346">
        <v>0</v>
      </c>
      <c r="S52" s="346">
        <v>0</v>
      </c>
      <c r="T52" s="346">
        <v>0</v>
      </c>
      <c r="U52" s="346">
        <v>0</v>
      </c>
      <c r="V52" s="346">
        <v>0</v>
      </c>
      <c r="W52" s="346">
        <v>0</v>
      </c>
      <c r="X52" s="346"/>
      <c r="Y52" s="346"/>
      <c r="Z52" s="346">
        <v>0</v>
      </c>
      <c r="AA52" s="346">
        <v>0</v>
      </c>
      <c r="AB52" s="346"/>
      <c r="AC52" s="346"/>
      <c r="AD52" s="346">
        <v>0</v>
      </c>
      <c r="AE52" s="346">
        <v>0</v>
      </c>
      <c r="AF52" s="547">
        <f>10000000</f>
        <v>10000000</v>
      </c>
      <c r="AG52" s="347"/>
      <c r="AH52" s="346">
        <v>0</v>
      </c>
      <c r="AI52" s="348"/>
      <c r="AJ52" s="348">
        <v>0</v>
      </c>
      <c r="AK52" s="346">
        <f t="shared" si="11"/>
        <v>10000000</v>
      </c>
    </row>
    <row r="53" spans="1:37" ht="96" customHeight="1" x14ac:dyDescent="0.2">
      <c r="A53" s="16"/>
      <c r="B53" s="23"/>
      <c r="C53" s="732"/>
      <c r="D53" s="735"/>
      <c r="E53" s="732"/>
      <c r="F53" s="732"/>
      <c r="G53" s="23"/>
      <c r="H53" s="673">
        <v>268</v>
      </c>
      <c r="I53" s="665" t="s">
        <v>863</v>
      </c>
      <c r="J53" s="18">
        <v>12</v>
      </c>
      <c r="K53" s="19">
        <v>12</v>
      </c>
      <c r="L53" s="744"/>
      <c r="M53" s="738"/>
      <c r="N53" s="732"/>
      <c r="O53" s="735"/>
      <c r="P53" s="81" t="s">
        <v>41</v>
      </c>
      <c r="Q53" s="346">
        <v>0</v>
      </c>
      <c r="R53" s="346">
        <v>0</v>
      </c>
      <c r="S53" s="346">
        <v>0</v>
      </c>
      <c r="T53" s="346">
        <v>0</v>
      </c>
      <c r="U53" s="346">
        <v>0</v>
      </c>
      <c r="V53" s="346">
        <v>0</v>
      </c>
      <c r="W53" s="346">
        <v>0</v>
      </c>
      <c r="X53" s="346"/>
      <c r="Y53" s="346"/>
      <c r="Z53" s="346">
        <v>0</v>
      </c>
      <c r="AA53" s="346">
        <v>0</v>
      </c>
      <c r="AB53" s="346"/>
      <c r="AC53" s="346"/>
      <c r="AD53" s="346">
        <v>0</v>
      </c>
      <c r="AE53" s="346">
        <v>0</v>
      </c>
      <c r="AF53" s="547">
        <f>21000000+9000000+40000000</f>
        <v>70000000</v>
      </c>
      <c r="AG53" s="347"/>
      <c r="AH53" s="346">
        <v>0</v>
      </c>
      <c r="AI53" s="348"/>
      <c r="AJ53" s="348">
        <v>0</v>
      </c>
      <c r="AK53" s="346">
        <f t="shared" si="11"/>
        <v>70000000</v>
      </c>
    </row>
    <row r="54" spans="1:37" ht="102.75" customHeight="1" x14ac:dyDescent="0.2">
      <c r="A54" s="16"/>
      <c r="B54" s="23"/>
      <c r="C54" s="732"/>
      <c r="D54" s="735"/>
      <c r="E54" s="732"/>
      <c r="F54" s="732"/>
      <c r="G54" s="23"/>
      <c r="H54" s="673">
        <v>269</v>
      </c>
      <c r="I54" s="665" t="s">
        <v>89</v>
      </c>
      <c r="J54" s="18">
        <v>12</v>
      </c>
      <c r="K54" s="19">
        <v>12</v>
      </c>
      <c r="L54" s="744"/>
      <c r="M54" s="738"/>
      <c r="N54" s="732"/>
      <c r="O54" s="735"/>
      <c r="P54" s="81" t="s">
        <v>41</v>
      </c>
      <c r="Q54" s="346">
        <v>0</v>
      </c>
      <c r="R54" s="346">
        <v>0</v>
      </c>
      <c r="S54" s="346">
        <v>0</v>
      </c>
      <c r="T54" s="346">
        <v>0</v>
      </c>
      <c r="U54" s="346">
        <v>0</v>
      </c>
      <c r="V54" s="346">
        <v>0</v>
      </c>
      <c r="W54" s="346">
        <v>0</v>
      </c>
      <c r="X54" s="346"/>
      <c r="Y54" s="346"/>
      <c r="Z54" s="346">
        <v>0</v>
      </c>
      <c r="AA54" s="346">
        <v>0</v>
      </c>
      <c r="AB54" s="346"/>
      <c r="AC54" s="346"/>
      <c r="AD54" s="346">
        <v>0</v>
      </c>
      <c r="AE54" s="346">
        <v>0</v>
      </c>
      <c r="AF54" s="547">
        <f>21000000+9000000</f>
        <v>30000000</v>
      </c>
      <c r="AG54" s="347"/>
      <c r="AH54" s="346">
        <v>0</v>
      </c>
      <c r="AI54" s="348"/>
      <c r="AJ54" s="348">
        <v>0</v>
      </c>
      <c r="AK54" s="346">
        <f t="shared" si="11"/>
        <v>30000000</v>
      </c>
    </row>
    <row r="55" spans="1:37" ht="117" customHeight="1" x14ac:dyDescent="0.2">
      <c r="A55" s="16"/>
      <c r="B55" s="23"/>
      <c r="C55" s="732"/>
      <c r="D55" s="735"/>
      <c r="E55" s="732"/>
      <c r="F55" s="732"/>
      <c r="G55" s="23"/>
      <c r="H55" s="673">
        <v>270</v>
      </c>
      <c r="I55" s="665" t="s">
        <v>90</v>
      </c>
      <c r="J55" s="18" t="s">
        <v>32</v>
      </c>
      <c r="K55" s="19">
        <v>12</v>
      </c>
      <c r="L55" s="744"/>
      <c r="M55" s="738"/>
      <c r="N55" s="732"/>
      <c r="O55" s="735"/>
      <c r="P55" s="81" t="s">
        <v>41</v>
      </c>
      <c r="Q55" s="346">
        <v>0</v>
      </c>
      <c r="R55" s="346">
        <v>0</v>
      </c>
      <c r="S55" s="346">
        <v>0</v>
      </c>
      <c r="T55" s="346">
        <v>0</v>
      </c>
      <c r="U55" s="346">
        <v>0</v>
      </c>
      <c r="V55" s="346">
        <v>0</v>
      </c>
      <c r="W55" s="346">
        <v>0</v>
      </c>
      <c r="X55" s="346"/>
      <c r="Y55" s="346"/>
      <c r="Z55" s="346">
        <v>0</v>
      </c>
      <c r="AA55" s="346">
        <v>0</v>
      </c>
      <c r="AB55" s="346"/>
      <c r="AC55" s="346"/>
      <c r="AD55" s="346">
        <v>0</v>
      </c>
      <c r="AE55" s="346">
        <v>0</v>
      </c>
      <c r="AF55" s="347">
        <v>21000000</v>
      </c>
      <c r="AG55" s="347"/>
      <c r="AH55" s="346">
        <v>0</v>
      </c>
      <c r="AI55" s="348"/>
      <c r="AJ55" s="348">
        <v>0</v>
      </c>
      <c r="AK55" s="346">
        <f t="shared" si="11"/>
        <v>21000000</v>
      </c>
    </row>
    <row r="56" spans="1:37" ht="138" customHeight="1" x14ac:dyDescent="0.2">
      <c r="A56" s="16"/>
      <c r="B56" s="23"/>
      <c r="C56" s="732"/>
      <c r="D56" s="735"/>
      <c r="E56" s="732"/>
      <c r="F56" s="732"/>
      <c r="G56" s="23"/>
      <c r="H56" s="673">
        <v>271</v>
      </c>
      <c r="I56" s="665" t="s">
        <v>91</v>
      </c>
      <c r="J56" s="18">
        <v>12</v>
      </c>
      <c r="K56" s="19">
        <v>12</v>
      </c>
      <c r="L56" s="744"/>
      <c r="M56" s="738"/>
      <c r="N56" s="732"/>
      <c r="O56" s="735"/>
      <c r="P56" s="81" t="s">
        <v>41</v>
      </c>
      <c r="Q56" s="346">
        <v>0</v>
      </c>
      <c r="R56" s="346">
        <v>0</v>
      </c>
      <c r="S56" s="346">
        <v>0</v>
      </c>
      <c r="T56" s="346">
        <v>0</v>
      </c>
      <c r="U56" s="346">
        <v>0</v>
      </c>
      <c r="V56" s="346">
        <v>0</v>
      </c>
      <c r="W56" s="346">
        <v>0</v>
      </c>
      <c r="X56" s="346"/>
      <c r="Y56" s="346"/>
      <c r="Z56" s="346">
        <v>0</v>
      </c>
      <c r="AA56" s="346">
        <v>0</v>
      </c>
      <c r="AB56" s="346"/>
      <c r="AC56" s="346"/>
      <c r="AD56" s="346">
        <v>0</v>
      </c>
      <c r="AE56" s="346">
        <v>0</v>
      </c>
      <c r="AF56" s="347">
        <v>38500000</v>
      </c>
      <c r="AG56" s="347"/>
      <c r="AH56" s="346">
        <v>0</v>
      </c>
      <c r="AI56" s="348"/>
      <c r="AJ56" s="348">
        <v>0</v>
      </c>
      <c r="AK56" s="346">
        <f t="shared" si="11"/>
        <v>38500000</v>
      </c>
    </row>
    <row r="57" spans="1:37" ht="83.25" customHeight="1" x14ac:dyDescent="0.2">
      <c r="A57" s="16"/>
      <c r="B57" s="23"/>
      <c r="C57" s="732"/>
      <c r="D57" s="735"/>
      <c r="E57" s="732"/>
      <c r="F57" s="732"/>
      <c r="G57" s="23"/>
      <c r="H57" s="673">
        <v>272</v>
      </c>
      <c r="I57" s="665" t="s">
        <v>92</v>
      </c>
      <c r="J57" s="18" t="s">
        <v>32</v>
      </c>
      <c r="K57" s="19">
        <v>12</v>
      </c>
      <c r="L57" s="744"/>
      <c r="M57" s="738"/>
      <c r="N57" s="732"/>
      <c r="O57" s="735"/>
      <c r="P57" s="81" t="s">
        <v>41</v>
      </c>
      <c r="Q57" s="346">
        <v>0</v>
      </c>
      <c r="R57" s="346">
        <v>0</v>
      </c>
      <c r="S57" s="346">
        <v>0</v>
      </c>
      <c r="T57" s="346">
        <v>0</v>
      </c>
      <c r="U57" s="346">
        <v>0</v>
      </c>
      <c r="V57" s="346">
        <v>0</v>
      </c>
      <c r="W57" s="346">
        <v>0</v>
      </c>
      <c r="X57" s="346"/>
      <c r="Y57" s="346"/>
      <c r="Z57" s="346">
        <v>0</v>
      </c>
      <c r="AA57" s="346">
        <v>0</v>
      </c>
      <c r="AB57" s="346"/>
      <c r="AC57" s="346"/>
      <c r="AD57" s="346">
        <v>0</v>
      </c>
      <c r="AE57" s="346">
        <v>0</v>
      </c>
      <c r="AF57" s="347">
        <v>38500000</v>
      </c>
      <c r="AG57" s="347"/>
      <c r="AH57" s="346">
        <v>0</v>
      </c>
      <c r="AI57" s="348"/>
      <c r="AJ57" s="348">
        <v>0</v>
      </c>
      <c r="AK57" s="346">
        <f t="shared" si="11"/>
        <v>38500000</v>
      </c>
    </row>
    <row r="58" spans="1:37" ht="80.25" customHeight="1" x14ac:dyDescent="0.2">
      <c r="A58" s="16"/>
      <c r="B58" s="23"/>
      <c r="C58" s="732"/>
      <c r="D58" s="735"/>
      <c r="E58" s="732"/>
      <c r="F58" s="732"/>
      <c r="G58" s="23"/>
      <c r="H58" s="673">
        <v>273</v>
      </c>
      <c r="I58" s="665" t="s">
        <v>93</v>
      </c>
      <c r="J58" s="18">
        <v>12</v>
      </c>
      <c r="K58" s="19">
        <v>12</v>
      </c>
      <c r="L58" s="744"/>
      <c r="M58" s="738"/>
      <c r="N58" s="732"/>
      <c r="O58" s="735"/>
      <c r="P58" s="81" t="s">
        <v>41</v>
      </c>
      <c r="Q58" s="346">
        <v>0</v>
      </c>
      <c r="R58" s="346">
        <v>0</v>
      </c>
      <c r="S58" s="346">
        <v>0</v>
      </c>
      <c r="T58" s="346">
        <v>0</v>
      </c>
      <c r="U58" s="346">
        <v>0</v>
      </c>
      <c r="V58" s="346">
        <v>0</v>
      </c>
      <c r="W58" s="346">
        <v>0</v>
      </c>
      <c r="X58" s="346"/>
      <c r="Y58" s="346"/>
      <c r="Z58" s="346">
        <v>0</v>
      </c>
      <c r="AA58" s="346">
        <v>0</v>
      </c>
      <c r="AB58" s="346"/>
      <c r="AC58" s="346"/>
      <c r="AD58" s="346">
        <v>0</v>
      </c>
      <c r="AE58" s="346">
        <v>0</v>
      </c>
      <c r="AF58" s="347">
        <v>2000000</v>
      </c>
      <c r="AG58" s="347"/>
      <c r="AH58" s="346">
        <v>0</v>
      </c>
      <c r="AI58" s="348"/>
      <c r="AJ58" s="348">
        <v>0</v>
      </c>
      <c r="AK58" s="346">
        <f t="shared" si="11"/>
        <v>2000000</v>
      </c>
    </row>
    <row r="59" spans="1:37" ht="95.25" customHeight="1" x14ac:dyDescent="0.2">
      <c r="A59" s="16"/>
      <c r="B59" s="23"/>
      <c r="C59" s="732"/>
      <c r="D59" s="735"/>
      <c r="E59" s="732"/>
      <c r="F59" s="732"/>
      <c r="G59" s="23"/>
      <c r="H59" s="673">
        <v>274</v>
      </c>
      <c r="I59" s="665" t="s">
        <v>94</v>
      </c>
      <c r="J59" s="18" t="s">
        <v>32</v>
      </c>
      <c r="K59" s="19">
        <v>12</v>
      </c>
      <c r="L59" s="744"/>
      <c r="M59" s="738"/>
      <c r="N59" s="732"/>
      <c r="O59" s="735"/>
      <c r="P59" s="81" t="s">
        <v>41</v>
      </c>
      <c r="Q59" s="346">
        <v>0</v>
      </c>
      <c r="R59" s="346">
        <v>0</v>
      </c>
      <c r="S59" s="346">
        <v>0</v>
      </c>
      <c r="T59" s="346">
        <v>0</v>
      </c>
      <c r="U59" s="346">
        <v>0</v>
      </c>
      <c r="V59" s="346">
        <v>0</v>
      </c>
      <c r="W59" s="346">
        <v>0</v>
      </c>
      <c r="X59" s="346"/>
      <c r="Y59" s="346"/>
      <c r="Z59" s="346">
        <v>0</v>
      </c>
      <c r="AA59" s="346">
        <v>0</v>
      </c>
      <c r="AB59" s="346"/>
      <c r="AC59" s="346"/>
      <c r="AD59" s="346">
        <v>0</v>
      </c>
      <c r="AE59" s="346">
        <v>0</v>
      </c>
      <c r="AF59" s="547">
        <f>21000000+9000000</f>
        <v>30000000</v>
      </c>
      <c r="AG59" s="347"/>
      <c r="AH59" s="346">
        <v>0</v>
      </c>
      <c r="AI59" s="348"/>
      <c r="AJ59" s="348">
        <v>0</v>
      </c>
      <c r="AK59" s="346">
        <f t="shared" si="11"/>
        <v>30000000</v>
      </c>
    </row>
    <row r="60" spans="1:37" ht="75" customHeight="1" x14ac:dyDescent="0.2">
      <c r="A60" s="16"/>
      <c r="B60" s="23"/>
      <c r="C60" s="732"/>
      <c r="D60" s="735"/>
      <c r="E60" s="732"/>
      <c r="F60" s="732"/>
      <c r="G60" s="65"/>
      <c r="H60" s="673">
        <v>260</v>
      </c>
      <c r="I60" s="665" t="s">
        <v>95</v>
      </c>
      <c r="J60" s="18">
        <v>12</v>
      </c>
      <c r="K60" s="19">
        <v>12</v>
      </c>
      <c r="L60" s="745"/>
      <c r="M60" s="739"/>
      <c r="N60" s="733"/>
      <c r="O60" s="736"/>
      <c r="P60" s="81" t="s">
        <v>41</v>
      </c>
      <c r="Q60" s="346">
        <v>0</v>
      </c>
      <c r="R60" s="346">
        <v>0</v>
      </c>
      <c r="S60" s="346">
        <v>0</v>
      </c>
      <c r="T60" s="346">
        <v>0</v>
      </c>
      <c r="U60" s="346">
        <v>0</v>
      </c>
      <c r="V60" s="346">
        <v>0</v>
      </c>
      <c r="W60" s="346">
        <v>0</v>
      </c>
      <c r="X60" s="346"/>
      <c r="Y60" s="346"/>
      <c r="Z60" s="346">
        <v>0</v>
      </c>
      <c r="AA60" s="346">
        <v>0</v>
      </c>
      <c r="AB60" s="346"/>
      <c r="AC60" s="346"/>
      <c r="AD60" s="346">
        <v>0</v>
      </c>
      <c r="AE60" s="346">
        <v>0</v>
      </c>
      <c r="AF60" s="347">
        <v>10000000</v>
      </c>
      <c r="AG60" s="347"/>
      <c r="AH60" s="346">
        <v>0</v>
      </c>
      <c r="AI60" s="348"/>
      <c r="AJ60" s="348">
        <v>0</v>
      </c>
      <c r="AK60" s="346">
        <f t="shared" si="11"/>
        <v>10000000</v>
      </c>
    </row>
    <row r="61" spans="1:37" ht="30" customHeight="1" x14ac:dyDescent="0.2">
      <c r="A61" s="16"/>
      <c r="B61" s="65"/>
      <c r="C61" s="638"/>
      <c r="D61" s="643"/>
      <c r="E61" s="638"/>
      <c r="F61" s="638"/>
      <c r="G61" s="30"/>
      <c r="H61" s="31"/>
      <c r="I61" s="30"/>
      <c r="J61" s="32"/>
      <c r="K61" s="82"/>
      <c r="L61" s="82"/>
      <c r="M61" s="151"/>
      <c r="N61" s="31"/>
      <c r="O61" s="30"/>
      <c r="P61" s="31"/>
      <c r="Q61" s="355">
        <f>SUM(Q43:Q60)</f>
        <v>0</v>
      </c>
      <c r="R61" s="355">
        <f t="shared" ref="R61:AK61" si="12">SUM(R43:R60)</f>
        <v>0</v>
      </c>
      <c r="S61" s="355">
        <f t="shared" si="12"/>
        <v>0</v>
      </c>
      <c r="T61" s="355">
        <f t="shared" si="12"/>
        <v>0</v>
      </c>
      <c r="U61" s="355">
        <f t="shared" si="12"/>
        <v>0</v>
      </c>
      <c r="V61" s="355">
        <f t="shared" si="12"/>
        <v>0</v>
      </c>
      <c r="W61" s="355">
        <f t="shared" si="12"/>
        <v>0</v>
      </c>
      <c r="X61" s="355">
        <f t="shared" si="12"/>
        <v>0</v>
      </c>
      <c r="Y61" s="355">
        <f t="shared" si="12"/>
        <v>0</v>
      </c>
      <c r="Z61" s="355">
        <f t="shared" si="12"/>
        <v>0</v>
      </c>
      <c r="AA61" s="355">
        <f t="shared" si="12"/>
        <v>0</v>
      </c>
      <c r="AB61" s="355">
        <f t="shared" si="12"/>
        <v>0</v>
      </c>
      <c r="AC61" s="355">
        <f t="shared" si="12"/>
        <v>0</v>
      </c>
      <c r="AD61" s="355">
        <f t="shared" si="12"/>
        <v>0</v>
      </c>
      <c r="AE61" s="355">
        <f t="shared" si="12"/>
        <v>0</v>
      </c>
      <c r="AF61" s="355">
        <f t="shared" si="12"/>
        <v>1450000000</v>
      </c>
      <c r="AG61" s="355">
        <f t="shared" si="12"/>
        <v>0</v>
      </c>
      <c r="AH61" s="355">
        <f t="shared" si="12"/>
        <v>0</v>
      </c>
      <c r="AI61" s="355">
        <f t="shared" si="12"/>
        <v>0</v>
      </c>
      <c r="AJ61" s="355">
        <f t="shared" si="12"/>
        <v>0</v>
      </c>
      <c r="AK61" s="355">
        <f t="shared" si="12"/>
        <v>1450000000</v>
      </c>
    </row>
    <row r="62" spans="1:37" ht="30" customHeight="1" x14ac:dyDescent="0.2">
      <c r="A62" s="16"/>
      <c r="B62" s="222"/>
      <c r="C62" s="503"/>
      <c r="D62" s="504"/>
      <c r="E62" s="503"/>
      <c r="F62" s="517"/>
      <c r="G62" s="34"/>
      <c r="H62" s="72"/>
      <c r="I62" s="71"/>
      <c r="J62" s="307"/>
      <c r="K62" s="308"/>
      <c r="L62" s="308"/>
      <c r="M62" s="309"/>
      <c r="N62" s="72"/>
      <c r="O62" s="71"/>
      <c r="P62" s="72"/>
      <c r="Q62" s="411">
        <f t="shared" ref="Q62:AK62" si="13">Q61</f>
        <v>0</v>
      </c>
      <c r="R62" s="411">
        <f t="shared" si="13"/>
        <v>0</v>
      </c>
      <c r="S62" s="411">
        <f t="shared" si="13"/>
        <v>0</v>
      </c>
      <c r="T62" s="411">
        <f t="shared" si="13"/>
        <v>0</v>
      </c>
      <c r="U62" s="411">
        <f t="shared" si="13"/>
        <v>0</v>
      </c>
      <c r="V62" s="411">
        <f t="shared" si="13"/>
        <v>0</v>
      </c>
      <c r="W62" s="411">
        <f t="shared" si="13"/>
        <v>0</v>
      </c>
      <c r="X62" s="411">
        <f t="shared" si="13"/>
        <v>0</v>
      </c>
      <c r="Y62" s="411">
        <f t="shared" si="13"/>
        <v>0</v>
      </c>
      <c r="Z62" s="411">
        <f t="shared" si="13"/>
        <v>0</v>
      </c>
      <c r="AA62" s="411">
        <f t="shared" si="13"/>
        <v>0</v>
      </c>
      <c r="AB62" s="411">
        <f t="shared" si="13"/>
        <v>0</v>
      </c>
      <c r="AC62" s="411">
        <f t="shared" si="13"/>
        <v>0</v>
      </c>
      <c r="AD62" s="411">
        <f t="shared" si="13"/>
        <v>0</v>
      </c>
      <c r="AE62" s="411">
        <f t="shared" si="13"/>
        <v>0</v>
      </c>
      <c r="AF62" s="411">
        <f t="shared" si="13"/>
        <v>1450000000</v>
      </c>
      <c r="AG62" s="411">
        <f t="shared" si="13"/>
        <v>0</v>
      </c>
      <c r="AH62" s="411">
        <f t="shared" si="13"/>
        <v>0</v>
      </c>
      <c r="AI62" s="411">
        <f t="shared" si="13"/>
        <v>0</v>
      </c>
      <c r="AJ62" s="411">
        <f t="shared" si="13"/>
        <v>0</v>
      </c>
      <c r="AK62" s="411">
        <f t="shared" si="13"/>
        <v>1450000000</v>
      </c>
    </row>
    <row r="63" spans="1:37" s="558" customFormat="1" ht="30" customHeight="1" x14ac:dyDescent="0.25">
      <c r="A63" s="37"/>
      <c r="B63" s="37"/>
      <c r="C63" s="38"/>
      <c r="D63" s="37"/>
      <c r="E63" s="38"/>
      <c r="F63" s="38"/>
      <c r="G63" s="37"/>
      <c r="H63" s="38"/>
      <c r="I63" s="37"/>
      <c r="J63" s="39"/>
      <c r="K63" s="85"/>
      <c r="L63" s="85"/>
      <c r="M63" s="311"/>
      <c r="N63" s="38"/>
      <c r="O63" s="37"/>
      <c r="P63" s="38"/>
      <c r="Q63" s="367">
        <f t="shared" ref="Q63:AK63" si="14">Q33+Q39+Q62</f>
        <v>0</v>
      </c>
      <c r="R63" s="367">
        <f t="shared" si="14"/>
        <v>0</v>
      </c>
      <c r="S63" s="367">
        <f t="shared" si="14"/>
        <v>0</v>
      </c>
      <c r="T63" s="367">
        <f t="shared" si="14"/>
        <v>0</v>
      </c>
      <c r="U63" s="367">
        <f t="shared" si="14"/>
        <v>0</v>
      </c>
      <c r="V63" s="367">
        <f t="shared" si="14"/>
        <v>0</v>
      </c>
      <c r="W63" s="367">
        <f t="shared" si="14"/>
        <v>0</v>
      </c>
      <c r="X63" s="367">
        <f t="shared" si="14"/>
        <v>0</v>
      </c>
      <c r="Y63" s="367">
        <f t="shared" si="14"/>
        <v>0</v>
      </c>
      <c r="Z63" s="367">
        <f t="shared" si="14"/>
        <v>0</v>
      </c>
      <c r="AA63" s="367">
        <f t="shared" si="14"/>
        <v>0</v>
      </c>
      <c r="AB63" s="367">
        <f t="shared" si="14"/>
        <v>0</v>
      </c>
      <c r="AC63" s="367">
        <f t="shared" si="14"/>
        <v>0</v>
      </c>
      <c r="AD63" s="367">
        <f t="shared" si="14"/>
        <v>0</v>
      </c>
      <c r="AE63" s="367">
        <f t="shared" si="14"/>
        <v>0</v>
      </c>
      <c r="AF63" s="367">
        <f t="shared" si="14"/>
        <v>1617000000</v>
      </c>
      <c r="AG63" s="367">
        <f t="shared" si="14"/>
        <v>0</v>
      </c>
      <c r="AH63" s="367">
        <f t="shared" si="14"/>
        <v>0</v>
      </c>
      <c r="AI63" s="367">
        <f t="shared" si="14"/>
        <v>0</v>
      </c>
      <c r="AJ63" s="367">
        <f t="shared" si="14"/>
        <v>0</v>
      </c>
      <c r="AK63" s="367">
        <f t="shared" si="14"/>
        <v>1617000000</v>
      </c>
    </row>
    <row r="64" spans="1:37" s="558" customFormat="1" ht="30" customHeight="1" x14ac:dyDescent="0.25">
      <c r="A64" s="40"/>
      <c r="B64" s="40"/>
      <c r="C64" s="41"/>
      <c r="D64" s="40"/>
      <c r="E64" s="41"/>
      <c r="F64" s="41"/>
      <c r="G64" s="40"/>
      <c r="H64" s="41"/>
      <c r="I64" s="40"/>
      <c r="J64" s="42"/>
      <c r="K64" s="86"/>
      <c r="L64" s="86"/>
      <c r="M64" s="285"/>
      <c r="N64" s="41"/>
      <c r="O64" s="40"/>
      <c r="P64" s="41"/>
      <c r="Q64" s="368">
        <f t="shared" ref="Q64:AK64" si="15">Q63</f>
        <v>0</v>
      </c>
      <c r="R64" s="368">
        <f t="shared" si="15"/>
        <v>0</v>
      </c>
      <c r="S64" s="368">
        <f t="shared" si="15"/>
        <v>0</v>
      </c>
      <c r="T64" s="368">
        <f t="shared" si="15"/>
        <v>0</v>
      </c>
      <c r="U64" s="368">
        <f t="shared" si="15"/>
        <v>0</v>
      </c>
      <c r="V64" s="368">
        <f t="shared" si="15"/>
        <v>0</v>
      </c>
      <c r="W64" s="368">
        <f t="shared" si="15"/>
        <v>0</v>
      </c>
      <c r="X64" s="368">
        <f t="shared" si="15"/>
        <v>0</v>
      </c>
      <c r="Y64" s="368">
        <f t="shared" si="15"/>
        <v>0</v>
      </c>
      <c r="Z64" s="368">
        <f t="shared" si="15"/>
        <v>0</v>
      </c>
      <c r="AA64" s="368">
        <f t="shared" si="15"/>
        <v>0</v>
      </c>
      <c r="AB64" s="368">
        <f t="shared" si="15"/>
        <v>0</v>
      </c>
      <c r="AC64" s="368">
        <f t="shared" si="15"/>
        <v>0</v>
      </c>
      <c r="AD64" s="368">
        <f t="shared" si="15"/>
        <v>0</v>
      </c>
      <c r="AE64" s="368">
        <f t="shared" si="15"/>
        <v>0</v>
      </c>
      <c r="AF64" s="368">
        <f t="shared" si="15"/>
        <v>1617000000</v>
      </c>
      <c r="AG64" s="368">
        <f t="shared" si="15"/>
        <v>0</v>
      </c>
      <c r="AH64" s="368">
        <f t="shared" si="15"/>
        <v>0</v>
      </c>
      <c r="AI64" s="368">
        <f t="shared" si="15"/>
        <v>0</v>
      </c>
      <c r="AJ64" s="368">
        <f t="shared" si="15"/>
        <v>0</v>
      </c>
      <c r="AK64" s="368">
        <f t="shared" si="15"/>
        <v>1617000000</v>
      </c>
    </row>
    <row r="65" spans="1:37" s="557" customFormat="1" ht="30" customHeight="1" x14ac:dyDescent="0.25">
      <c r="A65" s="505"/>
      <c r="B65" s="612"/>
      <c r="C65" s="680"/>
      <c r="D65" s="612"/>
      <c r="E65" s="680"/>
      <c r="F65" s="680"/>
      <c r="G65" s="612"/>
      <c r="H65" s="680"/>
      <c r="I65" s="612"/>
      <c r="J65" s="611"/>
      <c r="K65" s="681"/>
      <c r="L65" s="681"/>
      <c r="M65" s="682"/>
      <c r="N65" s="680"/>
      <c r="O65" s="612"/>
      <c r="P65" s="155"/>
      <c r="Q65" s="683"/>
      <c r="R65" s="684"/>
      <c r="S65" s="683"/>
      <c r="T65" s="683"/>
      <c r="U65" s="683"/>
      <c r="V65" s="683"/>
      <c r="W65" s="683"/>
      <c r="X65" s="683"/>
      <c r="Y65" s="683"/>
      <c r="Z65" s="683"/>
      <c r="AA65" s="683"/>
      <c r="AB65" s="684"/>
      <c r="AC65" s="684"/>
      <c r="AD65" s="683"/>
      <c r="AE65" s="683"/>
      <c r="AF65" s="685" t="s">
        <v>56</v>
      </c>
      <c r="AG65" s="683"/>
      <c r="AH65" s="683"/>
      <c r="AI65" s="683"/>
      <c r="AJ65" s="684"/>
      <c r="AK65" s="683"/>
    </row>
    <row r="66" spans="1:37" ht="30" customHeight="1" x14ac:dyDescent="0.2">
      <c r="A66" s="88" t="s">
        <v>96</v>
      </c>
      <c r="B66" s="89"/>
      <c r="C66" s="90"/>
      <c r="D66" s="89"/>
      <c r="E66" s="89"/>
      <c r="F66" s="89"/>
      <c r="G66" s="89"/>
      <c r="H66" s="90"/>
      <c r="I66" s="89"/>
      <c r="J66" s="89"/>
      <c r="K66" s="91"/>
      <c r="L66" s="91"/>
      <c r="M66" s="583"/>
      <c r="N66" s="90"/>
      <c r="O66" s="89"/>
      <c r="P66" s="6"/>
      <c r="Q66" s="518"/>
      <c r="R66" s="518"/>
      <c r="S66" s="518"/>
      <c r="T66" s="518"/>
      <c r="U66" s="518"/>
      <c r="V66" s="518"/>
      <c r="W66" s="518"/>
      <c r="X66" s="518"/>
      <c r="Y66" s="518"/>
      <c r="Z66" s="518"/>
      <c r="AA66" s="518"/>
      <c r="AB66" s="518"/>
      <c r="AC66" s="518"/>
      <c r="AD66" s="518"/>
      <c r="AE66" s="518"/>
      <c r="AF66" s="519"/>
      <c r="AG66" s="520"/>
      <c r="AH66" s="518"/>
      <c r="AI66" s="518"/>
      <c r="AJ66" s="518"/>
      <c r="AK66" s="518"/>
    </row>
    <row r="67" spans="1:37" ht="30" customHeight="1" x14ac:dyDescent="0.2">
      <c r="A67" s="679">
        <v>5</v>
      </c>
      <c r="B67" s="7" t="s">
        <v>26</v>
      </c>
      <c r="C67" s="8"/>
      <c r="D67" s="7"/>
      <c r="E67" s="7"/>
      <c r="F67" s="7"/>
      <c r="G67" s="7"/>
      <c r="H67" s="8"/>
      <c r="I67" s="7"/>
      <c r="J67" s="7"/>
      <c r="K67" s="92"/>
      <c r="L67" s="92"/>
      <c r="M67" s="578"/>
      <c r="N67" s="8"/>
      <c r="O67" s="7"/>
      <c r="P67" s="7"/>
      <c r="Q67" s="376"/>
      <c r="R67" s="376"/>
      <c r="S67" s="376"/>
      <c r="T67" s="376"/>
      <c r="U67" s="376"/>
      <c r="V67" s="376"/>
      <c r="W67" s="376"/>
      <c r="X67" s="376"/>
      <c r="Y67" s="376"/>
      <c r="Z67" s="376"/>
      <c r="AA67" s="376"/>
      <c r="AB67" s="376"/>
      <c r="AC67" s="376"/>
      <c r="AD67" s="376"/>
      <c r="AE67" s="376"/>
      <c r="AF67" s="377"/>
      <c r="AG67" s="376"/>
      <c r="AH67" s="376"/>
      <c r="AI67" s="376"/>
      <c r="AJ67" s="376"/>
      <c r="AK67" s="376"/>
    </row>
    <row r="68" spans="1:37" ht="30" customHeight="1" x14ac:dyDescent="0.2">
      <c r="A68" s="48"/>
      <c r="B68" s="93">
        <v>28</v>
      </c>
      <c r="C68" s="13" t="s">
        <v>27</v>
      </c>
      <c r="D68" s="12"/>
      <c r="E68" s="12"/>
      <c r="F68" s="12"/>
      <c r="G68" s="12"/>
      <c r="H68" s="13"/>
      <c r="I68" s="12"/>
      <c r="J68" s="12"/>
      <c r="K68" s="94"/>
      <c r="L68" s="94"/>
      <c r="M68" s="579"/>
      <c r="N68" s="13"/>
      <c r="O68" s="12"/>
      <c r="P68" s="12"/>
      <c r="Q68" s="357"/>
      <c r="R68" s="357"/>
      <c r="S68" s="357"/>
      <c r="T68" s="357"/>
      <c r="U68" s="357"/>
      <c r="V68" s="357"/>
      <c r="W68" s="357"/>
      <c r="X68" s="357"/>
      <c r="Y68" s="357"/>
      <c r="Z68" s="357"/>
      <c r="AA68" s="357"/>
      <c r="AB68" s="357"/>
      <c r="AC68" s="357"/>
      <c r="AD68" s="357"/>
      <c r="AE68" s="357"/>
      <c r="AF68" s="358"/>
      <c r="AG68" s="357"/>
      <c r="AH68" s="357"/>
      <c r="AI68" s="357"/>
      <c r="AJ68" s="357"/>
      <c r="AK68" s="357"/>
    </row>
    <row r="69" spans="1:37" ht="30" customHeight="1" x14ac:dyDescent="0.2">
      <c r="A69" s="16"/>
      <c r="B69" s="46"/>
      <c r="C69" s="3"/>
      <c r="D69" s="48"/>
      <c r="E69" s="48"/>
      <c r="F69" s="48"/>
      <c r="G69" s="50">
        <v>88</v>
      </c>
      <c r="H69" s="51" t="s">
        <v>97</v>
      </c>
      <c r="I69" s="52"/>
      <c r="J69" s="52"/>
      <c r="K69" s="96"/>
      <c r="L69" s="96"/>
      <c r="M69" s="581"/>
      <c r="N69" s="136"/>
      <c r="O69" s="52"/>
      <c r="P69" s="52"/>
      <c r="Q69" s="231"/>
      <c r="R69" s="231"/>
      <c r="S69" s="231"/>
      <c r="T69" s="231"/>
      <c r="U69" s="231"/>
      <c r="V69" s="231"/>
      <c r="W69" s="231"/>
      <c r="X69" s="231"/>
      <c r="Y69" s="231"/>
      <c r="Z69" s="231"/>
      <c r="AA69" s="231"/>
      <c r="AB69" s="231"/>
      <c r="AC69" s="231"/>
      <c r="AD69" s="231"/>
      <c r="AE69" s="231"/>
      <c r="AF69" s="359"/>
      <c r="AG69" s="231"/>
      <c r="AH69" s="231"/>
      <c r="AI69" s="231"/>
      <c r="AJ69" s="231"/>
      <c r="AK69" s="231"/>
    </row>
    <row r="70" spans="1:37" ht="45" customHeight="1" x14ac:dyDescent="0.2">
      <c r="A70" s="16"/>
      <c r="B70" s="47"/>
      <c r="C70" s="732">
        <v>38</v>
      </c>
      <c r="D70" s="735" t="s">
        <v>42</v>
      </c>
      <c r="E70" s="732">
        <v>0</v>
      </c>
      <c r="F70" s="732">
        <v>2</v>
      </c>
      <c r="G70" s="17"/>
      <c r="H70" s="649">
        <v>275</v>
      </c>
      <c r="I70" s="644" t="s">
        <v>98</v>
      </c>
      <c r="J70" s="641" t="s">
        <v>32</v>
      </c>
      <c r="K70" s="28">
        <v>4</v>
      </c>
      <c r="L70" s="743">
        <v>2017003630028</v>
      </c>
      <c r="M70" s="738" t="s">
        <v>33</v>
      </c>
      <c r="N70" s="731" t="s">
        <v>99</v>
      </c>
      <c r="O70" s="734" t="s">
        <v>864</v>
      </c>
      <c r="P70" s="649" t="s">
        <v>41</v>
      </c>
      <c r="Q70" s="369"/>
      <c r="R70" s="369"/>
      <c r="S70" s="369"/>
      <c r="T70" s="369"/>
      <c r="U70" s="371">
        <v>0</v>
      </c>
      <c r="V70" s="371">
        <v>0</v>
      </c>
      <c r="W70" s="369"/>
      <c r="X70" s="369"/>
      <c r="Y70" s="369"/>
      <c r="Z70" s="369"/>
      <c r="AA70" s="369"/>
      <c r="AB70" s="369"/>
      <c r="AC70" s="369"/>
      <c r="AD70" s="369"/>
      <c r="AE70" s="369"/>
      <c r="AF70" s="547">
        <f>900000000+387010000+75000000+115000000-60500000-25082209+6000000+13000000</f>
        <v>1410427791</v>
      </c>
      <c r="AG70" s="347"/>
      <c r="AH70" s="369"/>
      <c r="AI70" s="369"/>
      <c r="AJ70" s="369"/>
      <c r="AK70" s="346">
        <f>Q70+R70+S70+T70+U70+V70+W70+X70+Y70+Z70+AA70+AB70+AC70+AD70+AE70+AF70+AG70+AH70+AI70+AJ70</f>
        <v>1410427791</v>
      </c>
    </row>
    <row r="71" spans="1:37" ht="39.75" customHeight="1" x14ac:dyDescent="0.2">
      <c r="A71" s="16"/>
      <c r="B71" s="47"/>
      <c r="C71" s="732"/>
      <c r="D71" s="735"/>
      <c r="E71" s="732"/>
      <c r="F71" s="732"/>
      <c r="G71" s="23"/>
      <c r="H71" s="649">
        <v>276</v>
      </c>
      <c r="I71" s="665" t="s">
        <v>100</v>
      </c>
      <c r="J71" s="18">
        <v>1</v>
      </c>
      <c r="K71" s="19">
        <v>1</v>
      </c>
      <c r="L71" s="744"/>
      <c r="M71" s="738"/>
      <c r="N71" s="732"/>
      <c r="O71" s="735"/>
      <c r="P71" s="673" t="s">
        <v>41</v>
      </c>
      <c r="Q71" s="369"/>
      <c r="R71" s="369"/>
      <c r="S71" s="369"/>
      <c r="T71" s="369"/>
      <c r="U71" s="349">
        <f>41200000-41200000</f>
        <v>0</v>
      </c>
      <c r="V71" s="369"/>
      <c r="W71" s="369"/>
      <c r="X71" s="369"/>
      <c r="Y71" s="369"/>
      <c r="Z71" s="369"/>
      <c r="AA71" s="369"/>
      <c r="AB71" s="369"/>
      <c r="AC71" s="369"/>
      <c r="AD71" s="369"/>
      <c r="AE71" s="369"/>
      <c r="AF71" s="547">
        <f>300000000+40990000-75000000+67201457-3000000-15417791-6000000+2500000</f>
        <v>311273666</v>
      </c>
      <c r="AG71" s="347"/>
      <c r="AH71" s="369"/>
      <c r="AI71" s="369"/>
      <c r="AJ71" s="369"/>
      <c r="AK71" s="346">
        <f>Q71+R71+S71+T71+U71+V71+W71+X71+Y71+Z71+AA71+AB71+AC71+AD71+AE71+AF71+AG71+AH71+AI71+AJ71</f>
        <v>311273666</v>
      </c>
    </row>
    <row r="72" spans="1:37" s="557" customFormat="1" ht="42.75" customHeight="1" x14ac:dyDescent="0.25">
      <c r="A72" s="16"/>
      <c r="B72" s="47"/>
      <c r="C72" s="733"/>
      <c r="D72" s="736"/>
      <c r="E72" s="733"/>
      <c r="F72" s="733"/>
      <c r="G72" s="23"/>
      <c r="H72" s="649">
        <v>277</v>
      </c>
      <c r="I72" s="665" t="s">
        <v>101</v>
      </c>
      <c r="J72" s="18">
        <v>1</v>
      </c>
      <c r="K72" s="19">
        <v>1</v>
      </c>
      <c r="L72" s="745"/>
      <c r="M72" s="739"/>
      <c r="N72" s="733"/>
      <c r="O72" s="736"/>
      <c r="P72" s="673" t="s">
        <v>41</v>
      </c>
      <c r="Q72" s="369"/>
      <c r="R72" s="369"/>
      <c r="S72" s="369"/>
      <c r="T72" s="369"/>
      <c r="U72" s="541">
        <f>250000000+43558736-250000000</f>
        <v>43558736</v>
      </c>
      <c r="V72" s="369"/>
      <c r="W72" s="369"/>
      <c r="X72" s="369"/>
      <c r="Y72" s="369"/>
      <c r="Z72" s="369"/>
      <c r="AA72" s="369"/>
      <c r="AB72" s="369"/>
      <c r="AC72" s="369"/>
      <c r="AD72" s="369"/>
      <c r="AE72" s="369"/>
      <c r="AF72" s="547">
        <f>81181264+3000000+60500000-2500000</f>
        <v>142181264</v>
      </c>
      <c r="AG72" s="347"/>
      <c r="AH72" s="346"/>
      <c r="AI72" s="348"/>
      <c r="AJ72" s="349"/>
      <c r="AK72" s="346">
        <f>Q72+R72+S72+T72+U72+V72+W72+X72+Y72+Z72+AA72+AB72+AC72+AD72+AE72+AF72+AG72+AH72+AI72+AJ72</f>
        <v>185740000</v>
      </c>
    </row>
    <row r="73" spans="1:37" ht="48.75" customHeight="1" x14ac:dyDescent="0.2">
      <c r="A73" s="16"/>
      <c r="B73" s="47"/>
      <c r="C73" s="731">
        <v>38</v>
      </c>
      <c r="D73" s="734" t="s">
        <v>42</v>
      </c>
      <c r="E73" s="731">
        <v>0</v>
      </c>
      <c r="F73" s="731">
        <v>2</v>
      </c>
      <c r="G73" s="23"/>
      <c r="H73" s="649">
        <v>278</v>
      </c>
      <c r="I73" s="665" t="s">
        <v>102</v>
      </c>
      <c r="J73" s="18" t="s">
        <v>32</v>
      </c>
      <c r="K73" s="19">
        <v>1</v>
      </c>
      <c r="L73" s="742">
        <f>[2]ANDRES!$G$5</f>
        <v>2017003630029</v>
      </c>
      <c r="M73" s="737" t="s">
        <v>33</v>
      </c>
      <c r="N73" s="731" t="s">
        <v>103</v>
      </c>
      <c r="O73" s="734" t="s">
        <v>865</v>
      </c>
      <c r="P73" s="673" t="s">
        <v>41</v>
      </c>
      <c r="Q73" s="346">
        <v>0</v>
      </c>
      <c r="R73" s="346">
        <v>0</v>
      </c>
      <c r="S73" s="346">
        <v>0</v>
      </c>
      <c r="T73" s="346">
        <v>0</v>
      </c>
      <c r="U73" s="346">
        <v>0</v>
      </c>
      <c r="V73" s="346">
        <v>0</v>
      </c>
      <c r="W73" s="346">
        <v>0</v>
      </c>
      <c r="X73" s="346"/>
      <c r="Y73" s="346"/>
      <c r="Z73" s="346">
        <v>0</v>
      </c>
      <c r="AA73" s="346">
        <v>0</v>
      </c>
      <c r="AB73" s="346"/>
      <c r="AC73" s="346"/>
      <c r="AD73" s="346">
        <v>0</v>
      </c>
      <c r="AE73" s="346">
        <v>0</v>
      </c>
      <c r="AF73" s="547">
        <f>18000000</f>
        <v>18000000</v>
      </c>
      <c r="AG73" s="347"/>
      <c r="AH73" s="346">
        <v>0</v>
      </c>
      <c r="AI73" s="348"/>
      <c r="AJ73" s="348">
        <v>0</v>
      </c>
      <c r="AK73" s="346">
        <f>Q73+R73+S73+T73+U73+V73+W73+X73+Y73+Z73+AA73+AB73+AC73+AD73+AE73+AF73+AG73+AH73+AI73+AJ73</f>
        <v>18000000</v>
      </c>
    </row>
    <row r="74" spans="1:37" ht="69" customHeight="1" x14ac:dyDescent="0.2">
      <c r="A74" s="16"/>
      <c r="B74" s="47"/>
      <c r="C74" s="732"/>
      <c r="D74" s="735"/>
      <c r="E74" s="732"/>
      <c r="F74" s="732"/>
      <c r="G74" s="65"/>
      <c r="H74" s="649">
        <v>279</v>
      </c>
      <c r="I74" s="665" t="s">
        <v>104</v>
      </c>
      <c r="J74" s="18" t="s">
        <v>32</v>
      </c>
      <c r="K74" s="19">
        <v>1</v>
      </c>
      <c r="L74" s="733"/>
      <c r="M74" s="739"/>
      <c r="N74" s="733"/>
      <c r="O74" s="736"/>
      <c r="P74" s="673" t="s">
        <v>41</v>
      </c>
      <c r="Q74" s="346">
        <v>0</v>
      </c>
      <c r="R74" s="346">
        <v>0</v>
      </c>
      <c r="S74" s="346">
        <v>0</v>
      </c>
      <c r="T74" s="346">
        <v>0</v>
      </c>
      <c r="U74" s="346">
        <v>0</v>
      </c>
      <c r="V74" s="346"/>
      <c r="W74" s="346">
        <v>0</v>
      </c>
      <c r="X74" s="346"/>
      <c r="Y74" s="346"/>
      <c r="Z74" s="346">
        <v>0</v>
      </c>
      <c r="AA74" s="346">
        <v>0</v>
      </c>
      <c r="AB74" s="346"/>
      <c r="AC74" s="346"/>
      <c r="AD74" s="346">
        <v>0</v>
      </c>
      <c r="AE74" s="346">
        <v>0</v>
      </c>
      <c r="AF74" s="547">
        <f>300000000+72000000+40500000-13000000</f>
        <v>399500000</v>
      </c>
      <c r="AG74" s="347"/>
      <c r="AH74" s="346"/>
      <c r="AI74" s="348"/>
      <c r="AJ74" s="348">
        <v>0</v>
      </c>
      <c r="AK74" s="346">
        <f>Q74+R74+S74+T74+U74+V74+W74+X74+Y74+Z74+AA74+AB74+AC74+AD74+AE74+AF74+AG74+AH74+AI74+AJ74</f>
        <v>399500000</v>
      </c>
    </row>
    <row r="75" spans="1:37" ht="30" customHeight="1" x14ac:dyDescent="0.2">
      <c r="A75" s="16"/>
      <c r="B75" s="83"/>
      <c r="C75" s="649"/>
      <c r="D75" s="644"/>
      <c r="E75" s="649"/>
      <c r="F75" s="649"/>
      <c r="G75" s="30"/>
      <c r="H75" s="31"/>
      <c r="I75" s="30"/>
      <c r="J75" s="32"/>
      <c r="K75" s="56"/>
      <c r="L75" s="56"/>
      <c r="M75" s="151"/>
      <c r="N75" s="31"/>
      <c r="O75" s="30"/>
      <c r="P75" s="31"/>
      <c r="Q75" s="355">
        <f t="shared" ref="Q75:AJ75" si="16">SUM(Q70:Q74)</f>
        <v>0</v>
      </c>
      <c r="R75" s="355">
        <f t="shared" si="16"/>
        <v>0</v>
      </c>
      <c r="S75" s="355">
        <f t="shared" si="16"/>
        <v>0</v>
      </c>
      <c r="T75" s="355">
        <f t="shared" si="16"/>
        <v>0</v>
      </c>
      <c r="U75" s="355">
        <f t="shared" si="16"/>
        <v>43558736</v>
      </c>
      <c r="V75" s="355">
        <f t="shared" si="16"/>
        <v>0</v>
      </c>
      <c r="W75" s="355">
        <f t="shared" si="16"/>
        <v>0</v>
      </c>
      <c r="X75" s="355">
        <f t="shared" si="16"/>
        <v>0</v>
      </c>
      <c r="Y75" s="355">
        <f t="shared" si="16"/>
        <v>0</v>
      </c>
      <c r="Z75" s="355">
        <f t="shared" si="16"/>
        <v>0</v>
      </c>
      <c r="AA75" s="355">
        <f t="shared" si="16"/>
        <v>0</v>
      </c>
      <c r="AB75" s="355">
        <f t="shared" si="16"/>
        <v>0</v>
      </c>
      <c r="AC75" s="355">
        <f t="shared" si="16"/>
        <v>0</v>
      </c>
      <c r="AD75" s="355">
        <f t="shared" si="16"/>
        <v>0</v>
      </c>
      <c r="AE75" s="355">
        <f t="shared" si="16"/>
        <v>0</v>
      </c>
      <c r="AF75" s="355">
        <f t="shared" si="16"/>
        <v>2281382721</v>
      </c>
      <c r="AG75" s="355">
        <f t="shared" si="16"/>
        <v>0</v>
      </c>
      <c r="AH75" s="355">
        <f t="shared" si="16"/>
        <v>0</v>
      </c>
      <c r="AI75" s="355">
        <f t="shared" si="16"/>
        <v>0</v>
      </c>
      <c r="AJ75" s="355">
        <f t="shared" si="16"/>
        <v>0</v>
      </c>
      <c r="AK75" s="355">
        <f>SUM(AK70:AK74)</f>
        <v>2324941457</v>
      </c>
    </row>
    <row r="76" spans="1:37" ht="30" customHeight="1" x14ac:dyDescent="0.2">
      <c r="A76" s="29"/>
      <c r="B76" s="68"/>
      <c r="C76" s="35"/>
      <c r="D76" s="34"/>
      <c r="E76" s="35"/>
      <c r="F76" s="35"/>
      <c r="G76" s="34"/>
      <c r="H76" s="35"/>
      <c r="I76" s="34"/>
      <c r="J76" s="36"/>
      <c r="K76" s="73"/>
      <c r="L76" s="73"/>
      <c r="M76" s="303"/>
      <c r="N76" s="35"/>
      <c r="O76" s="34"/>
      <c r="P76" s="35"/>
      <c r="Q76" s="361">
        <f t="shared" ref="Q76:AK78" si="17">Q75</f>
        <v>0</v>
      </c>
      <c r="R76" s="361">
        <f t="shared" si="17"/>
        <v>0</v>
      </c>
      <c r="S76" s="361">
        <f t="shared" si="17"/>
        <v>0</v>
      </c>
      <c r="T76" s="361">
        <f t="shared" si="17"/>
        <v>0</v>
      </c>
      <c r="U76" s="361">
        <f t="shared" si="17"/>
        <v>43558736</v>
      </c>
      <c r="V76" s="361">
        <f t="shared" si="17"/>
        <v>0</v>
      </c>
      <c r="W76" s="361">
        <f t="shared" si="17"/>
        <v>0</v>
      </c>
      <c r="X76" s="361">
        <f t="shared" si="17"/>
        <v>0</v>
      </c>
      <c r="Y76" s="361">
        <f t="shared" si="17"/>
        <v>0</v>
      </c>
      <c r="Z76" s="361">
        <f t="shared" si="17"/>
        <v>0</v>
      </c>
      <c r="AA76" s="361">
        <f t="shared" si="17"/>
        <v>0</v>
      </c>
      <c r="AB76" s="361">
        <f t="shared" si="17"/>
        <v>0</v>
      </c>
      <c r="AC76" s="361">
        <f t="shared" si="17"/>
        <v>0</v>
      </c>
      <c r="AD76" s="361">
        <f t="shared" si="17"/>
        <v>0</v>
      </c>
      <c r="AE76" s="361">
        <f t="shared" si="17"/>
        <v>0</v>
      </c>
      <c r="AF76" s="361">
        <f t="shared" si="17"/>
        <v>2281382721</v>
      </c>
      <c r="AG76" s="361">
        <f t="shared" si="17"/>
        <v>0</v>
      </c>
      <c r="AH76" s="361">
        <f t="shared" si="17"/>
        <v>0</v>
      </c>
      <c r="AI76" s="361">
        <f t="shared" si="17"/>
        <v>0</v>
      </c>
      <c r="AJ76" s="361">
        <f t="shared" si="17"/>
        <v>0</v>
      </c>
      <c r="AK76" s="361">
        <f t="shared" si="17"/>
        <v>2324941457</v>
      </c>
    </row>
    <row r="77" spans="1:37" ht="30" customHeight="1" x14ac:dyDescent="0.2">
      <c r="A77" s="37"/>
      <c r="B77" s="37"/>
      <c r="C77" s="38"/>
      <c r="D77" s="37"/>
      <c r="E77" s="38"/>
      <c r="F77" s="38"/>
      <c r="G77" s="37"/>
      <c r="H77" s="38"/>
      <c r="I77" s="37"/>
      <c r="J77" s="39"/>
      <c r="K77" s="97"/>
      <c r="L77" s="97"/>
      <c r="M77" s="311"/>
      <c r="N77" s="38"/>
      <c r="O77" s="37"/>
      <c r="P77" s="38"/>
      <c r="Q77" s="367">
        <f t="shared" si="17"/>
        <v>0</v>
      </c>
      <c r="R77" s="367">
        <f t="shared" si="17"/>
        <v>0</v>
      </c>
      <c r="S77" s="367">
        <f t="shared" si="17"/>
        <v>0</v>
      </c>
      <c r="T77" s="367">
        <f t="shared" si="17"/>
        <v>0</v>
      </c>
      <c r="U77" s="367">
        <f t="shared" si="17"/>
        <v>43558736</v>
      </c>
      <c r="V77" s="367">
        <f t="shared" si="17"/>
        <v>0</v>
      </c>
      <c r="W77" s="367">
        <f t="shared" si="17"/>
        <v>0</v>
      </c>
      <c r="X77" s="367">
        <f t="shared" si="17"/>
        <v>0</v>
      </c>
      <c r="Y77" s="367">
        <f t="shared" si="17"/>
        <v>0</v>
      </c>
      <c r="Z77" s="367">
        <f t="shared" si="17"/>
        <v>0</v>
      </c>
      <c r="AA77" s="367">
        <f t="shared" si="17"/>
        <v>0</v>
      </c>
      <c r="AB77" s="367">
        <f t="shared" si="17"/>
        <v>0</v>
      </c>
      <c r="AC77" s="367">
        <f t="shared" si="17"/>
        <v>0</v>
      </c>
      <c r="AD77" s="367">
        <f t="shared" si="17"/>
        <v>0</v>
      </c>
      <c r="AE77" s="367">
        <f t="shared" si="17"/>
        <v>0</v>
      </c>
      <c r="AF77" s="367">
        <f t="shared" si="17"/>
        <v>2281382721</v>
      </c>
      <c r="AG77" s="367">
        <f t="shared" si="17"/>
        <v>0</v>
      </c>
      <c r="AH77" s="367">
        <f t="shared" si="17"/>
        <v>0</v>
      </c>
      <c r="AI77" s="367">
        <f t="shared" si="17"/>
        <v>0</v>
      </c>
      <c r="AJ77" s="367">
        <f t="shared" si="17"/>
        <v>0</v>
      </c>
      <c r="AK77" s="367">
        <f t="shared" si="17"/>
        <v>2324941457</v>
      </c>
    </row>
    <row r="78" spans="1:37" ht="30" customHeight="1" x14ac:dyDescent="0.2">
      <c r="A78" s="40"/>
      <c r="B78" s="40"/>
      <c r="C78" s="41"/>
      <c r="D78" s="40"/>
      <c r="E78" s="41"/>
      <c r="F78" s="41"/>
      <c r="G78" s="40"/>
      <c r="H78" s="41"/>
      <c r="I78" s="40"/>
      <c r="J78" s="42"/>
      <c r="K78" s="98"/>
      <c r="L78" s="98"/>
      <c r="M78" s="285"/>
      <c r="N78" s="41"/>
      <c r="O78" s="40"/>
      <c r="P78" s="41"/>
      <c r="Q78" s="368">
        <f t="shared" si="17"/>
        <v>0</v>
      </c>
      <c r="R78" s="368">
        <f t="shared" si="17"/>
        <v>0</v>
      </c>
      <c r="S78" s="368">
        <f t="shared" si="17"/>
        <v>0</v>
      </c>
      <c r="T78" s="368">
        <f t="shared" si="17"/>
        <v>0</v>
      </c>
      <c r="U78" s="368">
        <f t="shared" si="17"/>
        <v>43558736</v>
      </c>
      <c r="V78" s="368">
        <f t="shared" si="17"/>
        <v>0</v>
      </c>
      <c r="W78" s="368">
        <f t="shared" si="17"/>
        <v>0</v>
      </c>
      <c r="X78" s="368">
        <f t="shared" si="17"/>
        <v>0</v>
      </c>
      <c r="Y78" s="368">
        <f t="shared" si="17"/>
        <v>0</v>
      </c>
      <c r="Z78" s="368">
        <f t="shared" si="17"/>
        <v>0</v>
      </c>
      <c r="AA78" s="368">
        <f t="shared" si="17"/>
        <v>0</v>
      </c>
      <c r="AB78" s="368">
        <f t="shared" si="17"/>
        <v>0</v>
      </c>
      <c r="AC78" s="368">
        <f t="shared" si="17"/>
        <v>0</v>
      </c>
      <c r="AD78" s="368">
        <f t="shared" si="17"/>
        <v>0</v>
      </c>
      <c r="AE78" s="368">
        <f t="shared" si="17"/>
        <v>0</v>
      </c>
      <c r="AF78" s="368">
        <f t="shared" si="17"/>
        <v>2281382721</v>
      </c>
      <c r="AG78" s="368">
        <f t="shared" si="17"/>
        <v>0</v>
      </c>
      <c r="AH78" s="368">
        <f t="shared" si="17"/>
        <v>0</v>
      </c>
      <c r="AI78" s="368">
        <f t="shared" si="17"/>
        <v>0</v>
      </c>
      <c r="AJ78" s="368">
        <f t="shared" si="17"/>
        <v>0</v>
      </c>
      <c r="AK78" s="368">
        <f t="shared" si="17"/>
        <v>2324941457</v>
      </c>
    </row>
    <row r="79" spans="1:37" ht="30" customHeight="1" x14ac:dyDescent="0.2">
      <c r="A79" s="43"/>
      <c r="B79" s="44"/>
      <c r="C79" s="116"/>
      <c r="D79" s="44"/>
      <c r="E79" s="116"/>
      <c r="F79" s="116"/>
      <c r="G79" s="44"/>
      <c r="H79" s="116"/>
      <c r="I79" s="44"/>
      <c r="J79" s="45"/>
      <c r="K79" s="55"/>
      <c r="L79" s="55"/>
      <c r="M79" s="62"/>
      <c r="N79" s="116"/>
      <c r="O79" s="44"/>
      <c r="P79" s="116"/>
      <c r="Q79" s="350"/>
      <c r="R79" s="351"/>
      <c r="S79" s="350"/>
      <c r="T79" s="350"/>
      <c r="U79" s="350"/>
      <c r="V79" s="350"/>
      <c r="W79" s="350"/>
      <c r="X79" s="350"/>
      <c r="Y79" s="350"/>
      <c r="Z79" s="350"/>
      <c r="AA79" s="350"/>
      <c r="AB79" s="351"/>
      <c r="AC79" s="351"/>
      <c r="AD79" s="350"/>
      <c r="AE79" s="350"/>
      <c r="AF79" s="352"/>
      <c r="AG79" s="353"/>
      <c r="AH79" s="350"/>
      <c r="AI79" s="350"/>
      <c r="AJ79" s="351"/>
      <c r="AK79" s="350"/>
    </row>
    <row r="80" spans="1:37" ht="30" customHeight="1" x14ac:dyDescent="0.2">
      <c r="A80" s="4" t="s">
        <v>105</v>
      </c>
      <c r="B80" s="5"/>
      <c r="C80" s="6"/>
      <c r="D80" s="5"/>
      <c r="E80" s="5"/>
      <c r="F80" s="5"/>
      <c r="G80" s="5"/>
      <c r="H80" s="6"/>
      <c r="I80" s="5"/>
      <c r="J80" s="5"/>
      <c r="K80" s="99"/>
      <c r="L80" s="99"/>
      <c r="M80" s="577"/>
      <c r="N80" s="6"/>
      <c r="O80" s="5"/>
      <c r="P80" s="6"/>
      <c r="Q80" s="413"/>
      <c r="R80" s="413"/>
      <c r="S80" s="413"/>
      <c r="T80" s="413"/>
      <c r="U80" s="413"/>
      <c r="V80" s="413"/>
      <c r="W80" s="413"/>
      <c r="X80" s="413"/>
      <c r="Y80" s="413"/>
      <c r="Z80" s="413"/>
      <c r="AA80" s="413"/>
      <c r="AB80" s="413"/>
      <c r="AC80" s="413"/>
      <c r="AD80" s="413"/>
      <c r="AE80" s="413"/>
      <c r="AF80" s="414"/>
      <c r="AG80" s="415"/>
      <c r="AH80" s="413"/>
      <c r="AI80" s="413"/>
      <c r="AJ80" s="413"/>
      <c r="AK80" s="413"/>
    </row>
    <row r="81" spans="1:37" ht="30" customHeight="1" x14ac:dyDescent="0.2">
      <c r="A81" s="679">
        <v>2</v>
      </c>
      <c r="B81" s="7" t="s">
        <v>106</v>
      </c>
      <c r="C81" s="8"/>
      <c r="D81" s="7"/>
      <c r="E81" s="7"/>
      <c r="F81" s="7"/>
      <c r="G81" s="7"/>
      <c r="H81" s="8"/>
      <c r="I81" s="7"/>
      <c r="J81" s="7"/>
      <c r="K81" s="100"/>
      <c r="L81" s="100"/>
      <c r="M81" s="578"/>
      <c r="N81" s="8"/>
      <c r="O81" s="7"/>
      <c r="P81" s="7"/>
      <c r="Q81" s="376"/>
      <c r="R81" s="376"/>
      <c r="S81" s="376"/>
      <c r="T81" s="376"/>
      <c r="U81" s="376"/>
      <c r="V81" s="376"/>
      <c r="W81" s="376"/>
      <c r="X81" s="376"/>
      <c r="Y81" s="376"/>
      <c r="Z81" s="376"/>
      <c r="AA81" s="376"/>
      <c r="AB81" s="376"/>
      <c r="AC81" s="376"/>
      <c r="AD81" s="376"/>
      <c r="AE81" s="376"/>
      <c r="AF81" s="377"/>
      <c r="AG81" s="376"/>
      <c r="AH81" s="376"/>
      <c r="AI81" s="376"/>
      <c r="AJ81" s="376"/>
      <c r="AK81" s="378"/>
    </row>
    <row r="82" spans="1:37" ht="30" customHeight="1" x14ac:dyDescent="0.2">
      <c r="A82" s="125"/>
      <c r="B82" s="101">
        <v>4</v>
      </c>
      <c r="C82" s="11" t="s">
        <v>107</v>
      </c>
      <c r="D82" s="12"/>
      <c r="E82" s="12"/>
      <c r="F82" s="12"/>
      <c r="G82" s="12"/>
      <c r="H82" s="13"/>
      <c r="I82" s="12"/>
      <c r="J82" s="12"/>
      <c r="K82" s="63"/>
      <c r="L82" s="63"/>
      <c r="M82" s="579"/>
      <c r="N82" s="13"/>
      <c r="O82" s="12"/>
      <c r="P82" s="12"/>
      <c r="Q82" s="357"/>
      <c r="R82" s="357"/>
      <c r="S82" s="357"/>
      <c r="T82" s="357"/>
      <c r="U82" s="357"/>
      <c r="V82" s="357"/>
      <c r="W82" s="357"/>
      <c r="X82" s="357"/>
      <c r="Y82" s="357"/>
      <c r="Z82" s="357"/>
      <c r="AA82" s="357"/>
      <c r="AB82" s="357"/>
      <c r="AC82" s="357"/>
      <c r="AD82" s="357"/>
      <c r="AE82" s="357"/>
      <c r="AF82" s="358"/>
      <c r="AG82" s="357"/>
      <c r="AH82" s="357"/>
      <c r="AI82" s="357"/>
      <c r="AJ82" s="357"/>
      <c r="AK82" s="357"/>
    </row>
    <row r="83" spans="1:37" ht="30" customHeight="1" x14ac:dyDescent="0.2">
      <c r="A83" s="167"/>
      <c r="B83" s="9"/>
      <c r="C83" s="648"/>
      <c r="D83" s="642"/>
      <c r="E83" s="648"/>
      <c r="F83" s="648"/>
      <c r="G83" s="50">
        <v>14</v>
      </c>
      <c r="H83" s="52" t="s">
        <v>108</v>
      </c>
      <c r="I83" s="52"/>
      <c r="J83" s="52"/>
      <c r="K83" s="64"/>
      <c r="L83" s="64"/>
      <c r="M83" s="581"/>
      <c r="N83" s="136"/>
      <c r="O83" s="52"/>
      <c r="P83" s="52"/>
      <c r="Q83" s="231"/>
      <c r="R83" s="231"/>
      <c r="S83" s="231"/>
      <c r="T83" s="231"/>
      <c r="U83" s="231"/>
      <c r="V83" s="231"/>
      <c r="W83" s="231"/>
      <c r="X83" s="231"/>
      <c r="Y83" s="231"/>
      <c r="Z83" s="231"/>
      <c r="AA83" s="231"/>
      <c r="AB83" s="231"/>
      <c r="AC83" s="231"/>
      <c r="AD83" s="231"/>
      <c r="AE83" s="231"/>
      <c r="AF83" s="359"/>
      <c r="AG83" s="231"/>
      <c r="AH83" s="231"/>
      <c r="AI83" s="231"/>
      <c r="AJ83" s="231"/>
      <c r="AK83" s="233"/>
    </row>
    <row r="84" spans="1:37" ht="56.25" customHeight="1" x14ac:dyDescent="0.2">
      <c r="A84" s="167"/>
      <c r="B84" s="686"/>
      <c r="C84" s="732">
        <v>9</v>
      </c>
      <c r="D84" s="735" t="s">
        <v>109</v>
      </c>
      <c r="E84" s="732">
        <v>59</v>
      </c>
      <c r="F84" s="732">
        <v>87</v>
      </c>
      <c r="G84" s="23"/>
      <c r="H84" s="102">
        <v>54</v>
      </c>
      <c r="I84" s="665" t="s">
        <v>110</v>
      </c>
      <c r="J84" s="673">
        <v>129.85</v>
      </c>
      <c r="K84" s="80">
        <v>130</v>
      </c>
      <c r="L84" s="742">
        <f>[2]ANDRES!$G$7</f>
        <v>2017003630030</v>
      </c>
      <c r="M84" s="734" t="s">
        <v>111</v>
      </c>
      <c r="N84" s="731" t="s">
        <v>112</v>
      </c>
      <c r="O84" s="734" t="s">
        <v>56</v>
      </c>
      <c r="P84" s="673" t="s">
        <v>41</v>
      </c>
      <c r="Q84" s="346"/>
      <c r="R84" s="346"/>
      <c r="S84" s="346"/>
      <c r="T84" s="346"/>
      <c r="U84" s="346"/>
      <c r="V84" s="539">
        <f>248486462+22454001</f>
        <v>270940463</v>
      </c>
      <c r="W84" s="346"/>
      <c r="X84" s="346"/>
      <c r="Y84" s="346"/>
      <c r="Z84" s="346"/>
      <c r="AA84" s="346"/>
      <c r="AB84" s="346"/>
      <c r="AC84" s="346"/>
      <c r="AD84" s="346"/>
      <c r="AE84" s="346"/>
      <c r="AF84" s="547">
        <f>49839592+655093538-2247047.1</f>
        <v>702686082.89999998</v>
      </c>
      <c r="AG84" s="360"/>
      <c r="AH84" s="346"/>
      <c r="AI84" s="546">
        <f>3020000000-1000000000</f>
        <v>2020000000</v>
      </c>
      <c r="AJ84" s="348"/>
      <c r="AK84" s="346">
        <f>Q84+R84+S84+T84+U84+V84+W84+X84+Y84+Z84+AA84+AB84+AC84+AD84+AE84+AF84+AG84+AH84+AI84+AJ84</f>
        <v>2993626545.9000001</v>
      </c>
    </row>
    <row r="85" spans="1:37" ht="56.25" customHeight="1" x14ac:dyDescent="0.2">
      <c r="A85" s="167"/>
      <c r="B85" s="686"/>
      <c r="C85" s="732"/>
      <c r="D85" s="735"/>
      <c r="E85" s="732"/>
      <c r="F85" s="732"/>
      <c r="G85" s="23"/>
      <c r="H85" s="673">
        <v>55</v>
      </c>
      <c r="I85" s="665" t="s">
        <v>113</v>
      </c>
      <c r="J85" s="673">
        <v>12</v>
      </c>
      <c r="K85" s="80">
        <v>12</v>
      </c>
      <c r="L85" s="753"/>
      <c r="M85" s="735"/>
      <c r="N85" s="732"/>
      <c r="O85" s="735"/>
      <c r="P85" s="673" t="s">
        <v>41</v>
      </c>
      <c r="Q85" s="346"/>
      <c r="R85" s="346"/>
      <c r="S85" s="346"/>
      <c r="T85" s="346"/>
      <c r="U85" s="346"/>
      <c r="V85" s="539">
        <f>431000000+120000000-157295312</f>
        <v>393704688</v>
      </c>
      <c r="W85" s="346"/>
      <c r="X85" s="346"/>
      <c r="Y85" s="346"/>
      <c r="Z85" s="346"/>
      <c r="AA85" s="346"/>
      <c r="AB85" s="346"/>
      <c r="AC85" s="346"/>
      <c r="AD85" s="346"/>
      <c r="AE85" s="346"/>
      <c r="AF85" s="547">
        <v>324906462</v>
      </c>
      <c r="AG85" s="360"/>
      <c r="AH85" s="346"/>
      <c r="AI85" s="348">
        <f>1080000000-120000000</f>
        <v>960000000</v>
      </c>
      <c r="AJ85" s="348"/>
      <c r="AK85" s="346">
        <f>Q85+R85+S85+T85+U85+V85+W85+X85+Y85+Z85+AA85+AB85+AC85+AD85+AE85+AF85+AG85+AH85+AI85+AJ85</f>
        <v>1678611150</v>
      </c>
    </row>
    <row r="86" spans="1:37" ht="82.5" customHeight="1" x14ac:dyDescent="0.2">
      <c r="A86" s="167"/>
      <c r="B86" s="686"/>
      <c r="C86" s="732"/>
      <c r="D86" s="735"/>
      <c r="E86" s="732"/>
      <c r="F86" s="732"/>
      <c r="G86" s="65"/>
      <c r="H86" s="673">
        <v>56</v>
      </c>
      <c r="I86" s="665" t="s">
        <v>114</v>
      </c>
      <c r="J86" s="673">
        <v>9</v>
      </c>
      <c r="K86" s="630">
        <v>3</v>
      </c>
      <c r="L86" s="754"/>
      <c r="M86" s="736"/>
      <c r="N86" s="733"/>
      <c r="O86" s="736"/>
      <c r="P86" s="673" t="s">
        <v>54</v>
      </c>
      <c r="Q86" s="346">
        <v>0</v>
      </c>
      <c r="R86" s="346">
        <v>0</v>
      </c>
      <c r="S86" s="346">
        <v>0</v>
      </c>
      <c r="T86" s="346">
        <v>0</v>
      </c>
      <c r="U86" s="346">
        <v>0</v>
      </c>
      <c r="V86" s="103">
        <f>120000000-120000000+72000000</f>
        <v>72000000</v>
      </c>
      <c r="W86" s="346">
        <v>0</v>
      </c>
      <c r="X86" s="346"/>
      <c r="Y86" s="346"/>
      <c r="Z86" s="346">
        <v>0</v>
      </c>
      <c r="AA86" s="346">
        <v>0</v>
      </c>
      <c r="AB86" s="346"/>
      <c r="AC86" s="346"/>
      <c r="AD86" s="346">
        <v>0</v>
      </c>
      <c r="AE86" s="346">
        <v>0</v>
      </c>
      <c r="AF86" s="347"/>
      <c r="AG86" s="360"/>
      <c r="AH86" s="346">
        <v>0</v>
      </c>
      <c r="AI86" s="348">
        <f>780000000+120000000</f>
        <v>900000000</v>
      </c>
      <c r="AJ86" s="348">
        <v>0</v>
      </c>
      <c r="AK86" s="346">
        <f>Q86+R86+S86+T86+U86+V86+W86+X86+Y86+Z86+AA86+AB86+AC86+AD86+AE86+AF86+AG86+AH86+AI86+AJ86</f>
        <v>972000000</v>
      </c>
    </row>
    <row r="87" spans="1:37" ht="30" customHeight="1" x14ac:dyDescent="0.2">
      <c r="A87" s="167"/>
      <c r="B87" s="686"/>
      <c r="C87" s="649"/>
      <c r="D87" s="644"/>
      <c r="E87" s="649"/>
      <c r="F87" s="649"/>
      <c r="G87" s="30"/>
      <c r="H87" s="31"/>
      <c r="I87" s="30"/>
      <c r="J87" s="31"/>
      <c r="K87" s="104"/>
      <c r="L87" s="104"/>
      <c r="M87" s="30"/>
      <c r="N87" s="31"/>
      <c r="O87" s="30"/>
      <c r="P87" s="31"/>
      <c r="Q87" s="355">
        <f t="shared" ref="Q87:AJ87" si="18">SUM(Q84:Q86)</f>
        <v>0</v>
      </c>
      <c r="R87" s="355">
        <f t="shared" si="18"/>
        <v>0</v>
      </c>
      <c r="S87" s="355">
        <f t="shared" si="18"/>
        <v>0</v>
      </c>
      <c r="T87" s="355">
        <f t="shared" si="18"/>
        <v>0</v>
      </c>
      <c r="U87" s="355">
        <f t="shared" si="18"/>
        <v>0</v>
      </c>
      <c r="V87" s="355">
        <f t="shared" si="18"/>
        <v>736645151</v>
      </c>
      <c r="W87" s="355">
        <f t="shared" si="18"/>
        <v>0</v>
      </c>
      <c r="X87" s="355">
        <f t="shared" si="18"/>
        <v>0</v>
      </c>
      <c r="Y87" s="355">
        <f t="shared" si="18"/>
        <v>0</v>
      </c>
      <c r="Z87" s="355">
        <f t="shared" si="18"/>
        <v>0</v>
      </c>
      <c r="AA87" s="355">
        <f t="shared" si="18"/>
        <v>0</v>
      </c>
      <c r="AB87" s="355">
        <f t="shared" si="18"/>
        <v>0</v>
      </c>
      <c r="AC87" s="355">
        <f t="shared" si="18"/>
        <v>0</v>
      </c>
      <c r="AD87" s="355">
        <f t="shared" si="18"/>
        <v>0</v>
      </c>
      <c r="AE87" s="355">
        <f t="shared" si="18"/>
        <v>0</v>
      </c>
      <c r="AF87" s="355">
        <f t="shared" si="18"/>
        <v>1027592544.9</v>
      </c>
      <c r="AG87" s="355">
        <f t="shared" si="18"/>
        <v>0</v>
      </c>
      <c r="AH87" s="355">
        <f t="shared" si="18"/>
        <v>0</v>
      </c>
      <c r="AI87" s="355">
        <f t="shared" si="18"/>
        <v>3880000000</v>
      </c>
      <c r="AJ87" s="355">
        <f t="shared" si="18"/>
        <v>0</v>
      </c>
      <c r="AK87" s="355">
        <f>SUM(AK84:AK86)</f>
        <v>5644237695.8999996</v>
      </c>
    </row>
    <row r="88" spans="1:37" ht="30" customHeight="1" x14ac:dyDescent="0.2">
      <c r="A88" s="167"/>
      <c r="B88" s="686"/>
      <c r="C88" s="105"/>
      <c r="D88" s="44"/>
      <c r="E88" s="116"/>
      <c r="F88" s="116"/>
      <c r="G88" s="44"/>
      <c r="H88" s="116"/>
      <c r="I88" s="44"/>
      <c r="J88" s="116"/>
      <c r="K88" s="117"/>
      <c r="L88" s="117"/>
      <c r="M88" s="44"/>
      <c r="N88" s="116"/>
      <c r="O88" s="44"/>
      <c r="P88" s="116"/>
      <c r="Q88" s="350"/>
      <c r="R88" s="351"/>
      <c r="S88" s="350"/>
      <c r="T88" s="350"/>
      <c r="U88" s="350"/>
      <c r="V88" s="350"/>
      <c r="W88" s="350"/>
      <c r="X88" s="350"/>
      <c r="Y88" s="350"/>
      <c r="Z88" s="350"/>
      <c r="AA88" s="350"/>
      <c r="AB88" s="351"/>
      <c r="AC88" s="351"/>
      <c r="AD88" s="350"/>
      <c r="AE88" s="350"/>
      <c r="AF88" s="352"/>
      <c r="AG88" s="353"/>
      <c r="AH88" s="350"/>
      <c r="AI88" s="350"/>
      <c r="AJ88" s="351"/>
      <c r="AK88" s="350"/>
    </row>
    <row r="89" spans="1:37" ht="30" customHeight="1" x14ac:dyDescent="0.2">
      <c r="A89" s="167"/>
      <c r="B89" s="686"/>
      <c r="C89" s="105"/>
      <c r="D89" s="106"/>
      <c r="E89" s="106"/>
      <c r="F89" s="107"/>
      <c r="G89" s="108">
        <v>15</v>
      </c>
      <c r="H89" s="77" t="s">
        <v>115</v>
      </c>
      <c r="I89" s="52"/>
      <c r="J89" s="52"/>
      <c r="K89" s="96"/>
      <c r="L89" s="96"/>
      <c r="M89" s="581"/>
      <c r="N89" s="136"/>
      <c r="O89" s="52"/>
      <c r="P89" s="52"/>
      <c r="Q89" s="231"/>
      <c r="R89" s="231"/>
      <c r="S89" s="231"/>
      <c r="T89" s="231"/>
      <c r="U89" s="231"/>
      <c r="V89" s="231"/>
      <c r="W89" s="231"/>
      <c r="X89" s="231"/>
      <c r="Y89" s="231"/>
      <c r="Z89" s="231"/>
      <c r="AA89" s="231"/>
      <c r="AB89" s="231"/>
      <c r="AC89" s="231"/>
      <c r="AD89" s="231"/>
      <c r="AE89" s="231"/>
      <c r="AF89" s="359"/>
      <c r="AG89" s="231"/>
      <c r="AH89" s="231"/>
      <c r="AI89" s="231"/>
      <c r="AJ89" s="231"/>
      <c r="AK89" s="233"/>
    </row>
    <row r="90" spans="1:37" ht="108.75" customHeight="1" x14ac:dyDescent="0.2">
      <c r="A90" s="167"/>
      <c r="B90" s="686"/>
      <c r="C90" s="731">
        <v>7</v>
      </c>
      <c r="D90" s="734" t="s">
        <v>116</v>
      </c>
      <c r="E90" s="749">
        <v>0.317</v>
      </c>
      <c r="F90" s="751">
        <v>0.27</v>
      </c>
      <c r="G90" s="17"/>
      <c r="H90" s="673">
        <v>57</v>
      </c>
      <c r="I90" s="665" t="s">
        <v>117</v>
      </c>
      <c r="J90" s="673">
        <v>103</v>
      </c>
      <c r="K90" s="80">
        <v>12</v>
      </c>
      <c r="L90" s="742">
        <f>[2]ANDRES!$G$8</f>
        <v>2017003630044</v>
      </c>
      <c r="M90" s="642" t="s">
        <v>118</v>
      </c>
      <c r="N90" s="731" t="s">
        <v>119</v>
      </c>
      <c r="O90" s="734" t="s">
        <v>120</v>
      </c>
      <c r="P90" s="673" t="s">
        <v>54</v>
      </c>
      <c r="Q90" s="346"/>
      <c r="R90" s="346"/>
      <c r="S90" s="539">
        <f>4150000000+2390695347-65000000</f>
        <v>6475695347</v>
      </c>
      <c r="T90" s="346"/>
      <c r="U90" s="346"/>
      <c r="V90" s="346"/>
      <c r="W90" s="346"/>
      <c r="X90" s="346"/>
      <c r="Y90" s="346"/>
      <c r="Z90" s="346"/>
      <c r="AA90" s="346"/>
      <c r="AB90" s="346"/>
      <c r="AC90" s="346"/>
      <c r="AD90" s="346"/>
      <c r="AE90" s="346"/>
      <c r="AF90" s="347"/>
      <c r="AG90" s="360"/>
      <c r="AH90" s="346">
        <v>0</v>
      </c>
      <c r="AI90" s="348"/>
      <c r="AJ90" s="373"/>
      <c r="AK90" s="346">
        <f t="shared" ref="AK90:AK97" si="19">Q90+R90+S90+T90+U90+V90+W90+X90+Y90+Z90+AA90+AB90+AC90+AD90+AE90+AF90+AG90+AH90+AI90+AJ90</f>
        <v>6475695347</v>
      </c>
    </row>
    <row r="91" spans="1:37" ht="108.75" customHeight="1" x14ac:dyDescent="0.2">
      <c r="A91" s="167"/>
      <c r="B91" s="686"/>
      <c r="C91" s="732"/>
      <c r="D91" s="735"/>
      <c r="E91" s="750"/>
      <c r="F91" s="752"/>
      <c r="G91" s="23"/>
      <c r="H91" s="673">
        <v>58</v>
      </c>
      <c r="I91" s="665" t="s">
        <v>121</v>
      </c>
      <c r="J91" s="673">
        <v>6</v>
      </c>
      <c r="K91" s="80">
        <v>2</v>
      </c>
      <c r="L91" s="753"/>
      <c r="M91" s="642" t="s">
        <v>122</v>
      </c>
      <c r="N91" s="732"/>
      <c r="O91" s="735"/>
      <c r="P91" s="673" t="s">
        <v>54</v>
      </c>
      <c r="Q91" s="346">
        <v>0</v>
      </c>
      <c r="R91" s="346">
        <v>0</v>
      </c>
      <c r="S91" s="103"/>
      <c r="T91" s="346">
        <v>0</v>
      </c>
      <c r="U91" s="346">
        <v>0</v>
      </c>
      <c r="V91" s="346">
        <v>0</v>
      </c>
      <c r="W91" s="346">
        <v>0</v>
      </c>
      <c r="X91" s="346"/>
      <c r="Y91" s="346"/>
      <c r="Z91" s="346">
        <v>0</v>
      </c>
      <c r="AA91" s="346">
        <v>0</v>
      </c>
      <c r="AB91" s="346"/>
      <c r="AC91" s="346"/>
      <c r="AD91" s="346">
        <v>0</v>
      </c>
      <c r="AE91" s="346">
        <v>0</v>
      </c>
      <c r="AF91" s="347"/>
      <c r="AG91" s="360"/>
      <c r="AH91" s="346">
        <v>0</v>
      </c>
      <c r="AI91" s="539">
        <f>5400000000-4601825364</f>
        <v>798174636</v>
      </c>
      <c r="AJ91" s="348">
        <v>0</v>
      </c>
      <c r="AK91" s="346">
        <f t="shared" si="19"/>
        <v>798174636</v>
      </c>
    </row>
    <row r="92" spans="1:37" ht="108.75" customHeight="1" x14ac:dyDescent="0.2">
      <c r="A92" s="167"/>
      <c r="B92" s="686"/>
      <c r="C92" s="732"/>
      <c r="D92" s="735"/>
      <c r="E92" s="750"/>
      <c r="F92" s="752"/>
      <c r="G92" s="23"/>
      <c r="H92" s="673">
        <v>59</v>
      </c>
      <c r="I92" s="665" t="s">
        <v>123</v>
      </c>
      <c r="J92" s="673">
        <v>82</v>
      </c>
      <c r="K92" s="80">
        <v>12</v>
      </c>
      <c r="L92" s="753"/>
      <c r="M92" s="642" t="s">
        <v>122</v>
      </c>
      <c r="N92" s="732"/>
      <c r="O92" s="735"/>
      <c r="P92" s="673" t="s">
        <v>54</v>
      </c>
      <c r="Q92" s="346">
        <v>0</v>
      </c>
      <c r="R92" s="346">
        <v>0</v>
      </c>
      <c r="S92" s="539">
        <f>2000000000+1110062514</f>
        <v>3110062514</v>
      </c>
      <c r="T92" s="346">
        <v>0</v>
      </c>
      <c r="U92" s="346">
        <v>0</v>
      </c>
      <c r="V92" s="346">
        <v>0</v>
      </c>
      <c r="W92" s="346">
        <v>0</v>
      </c>
      <c r="X92" s="346"/>
      <c r="Y92" s="346"/>
      <c r="Z92" s="346">
        <v>0</v>
      </c>
      <c r="AA92" s="346">
        <v>0</v>
      </c>
      <c r="AB92" s="346"/>
      <c r="AC92" s="346"/>
      <c r="AD92" s="346">
        <v>0</v>
      </c>
      <c r="AE92" s="346">
        <v>0</v>
      </c>
      <c r="AF92" s="347">
        <v>0</v>
      </c>
      <c r="AG92" s="360"/>
      <c r="AH92" s="346">
        <v>0</v>
      </c>
      <c r="AI92" s="546">
        <f>280000000+120000000</f>
        <v>400000000</v>
      </c>
      <c r="AJ92" s="348"/>
      <c r="AK92" s="346">
        <f t="shared" si="19"/>
        <v>3510062514</v>
      </c>
    </row>
    <row r="93" spans="1:37" ht="108.75" customHeight="1" x14ac:dyDescent="0.2">
      <c r="A93" s="167"/>
      <c r="B93" s="686"/>
      <c r="C93" s="732"/>
      <c r="D93" s="735"/>
      <c r="E93" s="750"/>
      <c r="F93" s="752"/>
      <c r="G93" s="23"/>
      <c r="H93" s="673">
        <v>60</v>
      </c>
      <c r="I93" s="665" t="s">
        <v>124</v>
      </c>
      <c r="J93" s="673">
        <v>9</v>
      </c>
      <c r="K93" s="80">
        <v>12</v>
      </c>
      <c r="L93" s="753"/>
      <c r="M93" s="642" t="s">
        <v>122</v>
      </c>
      <c r="N93" s="732"/>
      <c r="O93" s="735"/>
      <c r="P93" s="673" t="s">
        <v>54</v>
      </c>
      <c r="Q93" s="346">
        <v>0</v>
      </c>
      <c r="R93" s="346">
        <v>0</v>
      </c>
      <c r="S93" s="374"/>
      <c r="T93" s="346">
        <v>0</v>
      </c>
      <c r="U93" s="346">
        <v>0</v>
      </c>
      <c r="V93" s="346">
        <v>0</v>
      </c>
      <c r="W93" s="346">
        <v>0</v>
      </c>
      <c r="X93" s="346"/>
      <c r="Y93" s="346"/>
      <c r="Z93" s="346">
        <v>0</v>
      </c>
      <c r="AA93" s="346">
        <v>0</v>
      </c>
      <c r="AB93" s="346"/>
      <c r="AC93" s="346"/>
      <c r="AD93" s="346">
        <v>0</v>
      </c>
      <c r="AE93" s="346">
        <v>0</v>
      </c>
      <c r="AF93" s="539">
        <f>226000000-60000000</f>
        <v>166000000</v>
      </c>
      <c r="AG93" s="360"/>
      <c r="AH93" s="346">
        <v>0</v>
      </c>
      <c r="AI93" s="546">
        <f>3400000000-900000000-1068941717-986890952.5+241405416</f>
        <v>685572746.5</v>
      </c>
      <c r="AJ93" s="348">
        <v>0</v>
      </c>
      <c r="AK93" s="346">
        <f t="shared" si="19"/>
        <v>851572746.5</v>
      </c>
    </row>
    <row r="94" spans="1:37" ht="108.75" customHeight="1" x14ac:dyDescent="0.2">
      <c r="A94" s="167"/>
      <c r="B94" s="686"/>
      <c r="C94" s="732"/>
      <c r="D94" s="735"/>
      <c r="E94" s="750"/>
      <c r="F94" s="752"/>
      <c r="G94" s="23"/>
      <c r="H94" s="673">
        <v>61</v>
      </c>
      <c r="I94" s="665" t="s">
        <v>125</v>
      </c>
      <c r="J94" s="673">
        <v>2</v>
      </c>
      <c r="K94" s="80">
        <v>1</v>
      </c>
      <c r="L94" s="753"/>
      <c r="M94" s="642" t="s">
        <v>122</v>
      </c>
      <c r="N94" s="732"/>
      <c r="O94" s="735"/>
      <c r="P94" s="673" t="s">
        <v>54</v>
      </c>
      <c r="Q94" s="346">
        <v>0</v>
      </c>
      <c r="R94" s="346">
        <v>0</v>
      </c>
      <c r="S94" s="374"/>
      <c r="T94" s="346">
        <v>0</v>
      </c>
      <c r="U94" s="346">
        <v>0</v>
      </c>
      <c r="V94" s="346">
        <v>0</v>
      </c>
      <c r="W94" s="346">
        <v>0</v>
      </c>
      <c r="X94" s="346"/>
      <c r="Y94" s="346"/>
      <c r="Z94" s="346">
        <v>0</v>
      </c>
      <c r="AA94" s="346">
        <v>0</v>
      </c>
      <c r="AB94" s="346"/>
      <c r="AC94" s="346"/>
      <c r="AD94" s="346">
        <v>0</v>
      </c>
      <c r="AE94" s="346">
        <v>0</v>
      </c>
      <c r="AF94" s="547">
        <f>120000000+60000000</f>
        <v>180000000</v>
      </c>
      <c r="AG94" s="360"/>
      <c r="AH94" s="346">
        <v>0</v>
      </c>
      <c r="AI94" s="539">
        <f>1340000000+280000000-241405416</f>
        <v>1378594584</v>
      </c>
      <c r="AJ94" s="348">
        <v>0</v>
      </c>
      <c r="AK94" s="346">
        <f t="shared" si="19"/>
        <v>1558594584</v>
      </c>
    </row>
    <row r="95" spans="1:37" ht="108.75" customHeight="1" x14ac:dyDescent="0.2">
      <c r="A95" s="167"/>
      <c r="B95" s="686"/>
      <c r="C95" s="732"/>
      <c r="D95" s="735"/>
      <c r="E95" s="750"/>
      <c r="F95" s="752"/>
      <c r="G95" s="23"/>
      <c r="H95" s="673">
        <v>62</v>
      </c>
      <c r="I95" s="665" t="s">
        <v>126</v>
      </c>
      <c r="J95" s="673">
        <v>1</v>
      </c>
      <c r="K95" s="80">
        <v>2</v>
      </c>
      <c r="L95" s="753"/>
      <c r="M95" s="665" t="s">
        <v>122</v>
      </c>
      <c r="N95" s="732"/>
      <c r="O95" s="735"/>
      <c r="P95" s="673" t="s">
        <v>41</v>
      </c>
      <c r="Q95" s="346">
        <v>0</v>
      </c>
      <c r="R95" s="346">
        <v>0</v>
      </c>
      <c r="S95" s="374"/>
      <c r="T95" s="346">
        <v>0</v>
      </c>
      <c r="U95" s="346">
        <v>0</v>
      </c>
      <c r="V95" s="346">
        <v>0</v>
      </c>
      <c r="W95" s="346">
        <v>0</v>
      </c>
      <c r="X95" s="346"/>
      <c r="Y95" s="346"/>
      <c r="Z95" s="346">
        <v>0</v>
      </c>
      <c r="AA95" s="346">
        <v>0</v>
      </c>
      <c r="AB95" s="346"/>
      <c r="AC95" s="346"/>
      <c r="AD95" s="346">
        <v>0</v>
      </c>
      <c r="AE95" s="346">
        <v>0</v>
      </c>
      <c r="AF95" s="347">
        <v>0</v>
      </c>
      <c r="AG95" s="360"/>
      <c r="AH95" s="346">
        <v>0</v>
      </c>
      <c r="AI95" s="103">
        <v>1500000000</v>
      </c>
      <c r="AJ95" s="348">
        <v>0</v>
      </c>
      <c r="AK95" s="346">
        <f t="shared" si="19"/>
        <v>1500000000</v>
      </c>
    </row>
    <row r="96" spans="1:37" ht="108.75" customHeight="1" x14ac:dyDescent="0.2">
      <c r="A96" s="167"/>
      <c r="B96" s="686"/>
      <c r="C96" s="732"/>
      <c r="D96" s="735"/>
      <c r="E96" s="750"/>
      <c r="F96" s="752"/>
      <c r="G96" s="23"/>
      <c r="H96" s="673">
        <v>64</v>
      </c>
      <c r="I96" s="665" t="s">
        <v>129</v>
      </c>
      <c r="J96" s="673">
        <v>0</v>
      </c>
      <c r="K96" s="630">
        <v>2</v>
      </c>
      <c r="L96" s="754"/>
      <c r="M96" s="665" t="s">
        <v>122</v>
      </c>
      <c r="N96" s="733"/>
      <c r="O96" s="736"/>
      <c r="P96" s="673" t="s">
        <v>54</v>
      </c>
      <c r="Q96" s="346">
        <v>0</v>
      </c>
      <c r="R96" s="346">
        <v>0</v>
      </c>
      <c r="S96" s="103"/>
      <c r="T96" s="346">
        <v>0</v>
      </c>
      <c r="U96" s="346">
        <v>0</v>
      </c>
      <c r="V96" s="346">
        <v>0</v>
      </c>
      <c r="W96" s="346">
        <v>0</v>
      </c>
      <c r="X96" s="346"/>
      <c r="Y96" s="346"/>
      <c r="Z96" s="346">
        <v>0</v>
      </c>
      <c r="AA96" s="346">
        <v>0</v>
      </c>
      <c r="AB96" s="346"/>
      <c r="AC96" s="346"/>
      <c r="AD96" s="346">
        <v>0</v>
      </c>
      <c r="AE96" s="346">
        <v>0</v>
      </c>
      <c r="AF96" s="349">
        <v>30000000</v>
      </c>
      <c r="AG96" s="349"/>
      <c r="AH96" s="346">
        <v>0</v>
      </c>
      <c r="AI96" s="348"/>
      <c r="AJ96" s="348">
        <v>0</v>
      </c>
      <c r="AK96" s="346">
        <f t="shared" si="19"/>
        <v>30000000</v>
      </c>
    </row>
    <row r="97" spans="1:37" ht="108.75" customHeight="1" x14ac:dyDescent="0.2">
      <c r="A97" s="167"/>
      <c r="B97" s="686"/>
      <c r="C97" s="638"/>
      <c r="D97" s="643"/>
      <c r="E97" s="651"/>
      <c r="F97" s="647"/>
      <c r="G97" s="65"/>
      <c r="H97" s="673">
        <v>59</v>
      </c>
      <c r="I97" s="665" t="s">
        <v>130</v>
      </c>
      <c r="J97" s="673" t="s">
        <v>32</v>
      </c>
      <c r="K97" s="673" t="s">
        <v>131</v>
      </c>
      <c r="L97" s="635" t="s">
        <v>132</v>
      </c>
      <c r="M97" s="644" t="s">
        <v>122</v>
      </c>
      <c r="N97" s="653" t="s">
        <v>132</v>
      </c>
      <c r="O97" s="644" t="s">
        <v>133</v>
      </c>
      <c r="P97" s="673"/>
      <c r="Q97" s="346"/>
      <c r="R97" s="346"/>
      <c r="S97" s="103"/>
      <c r="T97" s="346"/>
      <c r="U97" s="346"/>
      <c r="V97" s="346"/>
      <c r="W97" s="346"/>
      <c r="X97" s="346"/>
      <c r="Y97" s="346"/>
      <c r="Z97" s="346"/>
      <c r="AA97" s="346"/>
      <c r="AB97" s="346"/>
      <c r="AC97" s="346"/>
      <c r="AD97" s="346"/>
      <c r="AE97" s="346"/>
      <c r="AF97" s="349"/>
      <c r="AG97" s="349"/>
      <c r="AH97" s="346"/>
      <c r="AI97" s="348"/>
      <c r="AJ97" s="546">
        <f>611890318+611890317</f>
        <v>1223780635</v>
      </c>
      <c r="AK97" s="346">
        <f t="shared" si="19"/>
        <v>1223780635</v>
      </c>
    </row>
    <row r="98" spans="1:37" ht="30" customHeight="1" x14ac:dyDescent="0.2">
      <c r="A98" s="167"/>
      <c r="B98" s="33"/>
      <c r="C98" s="649"/>
      <c r="D98" s="644"/>
      <c r="E98" s="649"/>
      <c r="F98" s="649"/>
      <c r="G98" s="30"/>
      <c r="H98" s="31"/>
      <c r="I98" s="112"/>
      <c r="J98" s="31"/>
      <c r="K98" s="104"/>
      <c r="L98" s="104"/>
      <c r="M98" s="112"/>
      <c r="N98" s="31"/>
      <c r="O98" s="112"/>
      <c r="P98" s="31"/>
      <c r="Q98" s="355">
        <f t="shared" ref="Q98:AK98" si="20">SUM(Q90:Q97)</f>
        <v>0</v>
      </c>
      <c r="R98" s="355">
        <f t="shared" si="20"/>
        <v>0</v>
      </c>
      <c r="S98" s="355">
        <f t="shared" si="20"/>
        <v>9585757861</v>
      </c>
      <c r="T98" s="355">
        <f t="shared" si="20"/>
        <v>0</v>
      </c>
      <c r="U98" s="355">
        <f t="shared" si="20"/>
        <v>0</v>
      </c>
      <c r="V98" s="355">
        <f t="shared" si="20"/>
        <v>0</v>
      </c>
      <c r="W98" s="355">
        <f t="shared" si="20"/>
        <v>0</v>
      </c>
      <c r="X98" s="355">
        <f t="shared" si="20"/>
        <v>0</v>
      </c>
      <c r="Y98" s="355">
        <f t="shared" si="20"/>
        <v>0</v>
      </c>
      <c r="Z98" s="355">
        <f t="shared" si="20"/>
        <v>0</v>
      </c>
      <c r="AA98" s="355">
        <f t="shared" si="20"/>
        <v>0</v>
      </c>
      <c r="AB98" s="355">
        <f t="shared" si="20"/>
        <v>0</v>
      </c>
      <c r="AC98" s="355">
        <f t="shared" si="20"/>
        <v>0</v>
      </c>
      <c r="AD98" s="355">
        <f t="shared" si="20"/>
        <v>0</v>
      </c>
      <c r="AE98" s="355">
        <f t="shared" si="20"/>
        <v>0</v>
      </c>
      <c r="AF98" s="355">
        <f t="shared" si="20"/>
        <v>376000000</v>
      </c>
      <c r="AG98" s="355">
        <f t="shared" si="20"/>
        <v>0</v>
      </c>
      <c r="AH98" s="355">
        <f t="shared" si="20"/>
        <v>0</v>
      </c>
      <c r="AI98" s="355">
        <f t="shared" si="20"/>
        <v>4762341966.5</v>
      </c>
      <c r="AJ98" s="355">
        <f t="shared" si="20"/>
        <v>1223780635</v>
      </c>
      <c r="AK98" s="355">
        <f t="shared" si="20"/>
        <v>15947880462.5</v>
      </c>
    </row>
    <row r="99" spans="1:37" ht="30" customHeight="1" x14ac:dyDescent="0.2">
      <c r="A99" s="169"/>
      <c r="B99" s="34"/>
      <c r="C99" s="35"/>
      <c r="D99" s="34"/>
      <c r="E99" s="35"/>
      <c r="F99" s="35"/>
      <c r="G99" s="34"/>
      <c r="H99" s="35"/>
      <c r="I99" s="34"/>
      <c r="J99" s="35"/>
      <c r="K99" s="113"/>
      <c r="L99" s="113"/>
      <c r="M99" s="34"/>
      <c r="N99" s="35"/>
      <c r="O99" s="34"/>
      <c r="P99" s="35"/>
      <c r="Q99" s="361">
        <f t="shared" ref="Q99:AK99" si="21">Q98+Q87</f>
        <v>0</v>
      </c>
      <c r="R99" s="361">
        <f t="shared" si="21"/>
        <v>0</v>
      </c>
      <c r="S99" s="361">
        <f t="shared" si="21"/>
        <v>9585757861</v>
      </c>
      <c r="T99" s="361">
        <f t="shared" si="21"/>
        <v>0</v>
      </c>
      <c r="U99" s="361">
        <f t="shared" si="21"/>
        <v>0</v>
      </c>
      <c r="V99" s="361">
        <f t="shared" si="21"/>
        <v>736645151</v>
      </c>
      <c r="W99" s="361">
        <f t="shared" si="21"/>
        <v>0</v>
      </c>
      <c r="X99" s="361">
        <f t="shared" si="21"/>
        <v>0</v>
      </c>
      <c r="Y99" s="361">
        <f t="shared" si="21"/>
        <v>0</v>
      </c>
      <c r="Z99" s="361">
        <f t="shared" si="21"/>
        <v>0</v>
      </c>
      <c r="AA99" s="361">
        <f t="shared" si="21"/>
        <v>0</v>
      </c>
      <c r="AB99" s="361">
        <f t="shared" si="21"/>
        <v>0</v>
      </c>
      <c r="AC99" s="361">
        <f t="shared" si="21"/>
        <v>0</v>
      </c>
      <c r="AD99" s="361">
        <f t="shared" si="21"/>
        <v>0</v>
      </c>
      <c r="AE99" s="361">
        <f t="shared" si="21"/>
        <v>0</v>
      </c>
      <c r="AF99" s="361">
        <f t="shared" si="21"/>
        <v>1403592544.9000001</v>
      </c>
      <c r="AG99" s="361">
        <f t="shared" si="21"/>
        <v>0</v>
      </c>
      <c r="AH99" s="361">
        <f t="shared" si="21"/>
        <v>0</v>
      </c>
      <c r="AI99" s="361">
        <f t="shared" si="21"/>
        <v>8642341966.5</v>
      </c>
      <c r="AJ99" s="361">
        <f t="shared" si="21"/>
        <v>1223780635</v>
      </c>
      <c r="AK99" s="361">
        <f t="shared" si="21"/>
        <v>21592118158.400002</v>
      </c>
    </row>
    <row r="100" spans="1:37" ht="30" customHeight="1" x14ac:dyDescent="0.2">
      <c r="A100" s="37"/>
      <c r="B100" s="37"/>
      <c r="C100" s="38"/>
      <c r="D100" s="37"/>
      <c r="E100" s="38"/>
      <c r="F100" s="38"/>
      <c r="G100" s="37"/>
      <c r="H100" s="38"/>
      <c r="I100" s="37"/>
      <c r="J100" s="38"/>
      <c r="K100" s="115"/>
      <c r="L100" s="115"/>
      <c r="M100" s="37"/>
      <c r="N100" s="38"/>
      <c r="O100" s="37"/>
      <c r="P100" s="38"/>
      <c r="Q100" s="367">
        <f t="shared" ref="Q100:AK100" si="22">Q99</f>
        <v>0</v>
      </c>
      <c r="R100" s="367">
        <f t="shared" si="22"/>
        <v>0</v>
      </c>
      <c r="S100" s="367">
        <f t="shared" si="22"/>
        <v>9585757861</v>
      </c>
      <c r="T100" s="367">
        <f t="shared" si="22"/>
        <v>0</v>
      </c>
      <c r="U100" s="367">
        <f t="shared" si="22"/>
        <v>0</v>
      </c>
      <c r="V100" s="367">
        <f t="shared" si="22"/>
        <v>736645151</v>
      </c>
      <c r="W100" s="367">
        <f t="shared" si="22"/>
        <v>0</v>
      </c>
      <c r="X100" s="367">
        <f t="shared" si="22"/>
        <v>0</v>
      </c>
      <c r="Y100" s="367">
        <f t="shared" si="22"/>
        <v>0</v>
      </c>
      <c r="Z100" s="367">
        <f t="shared" si="22"/>
        <v>0</v>
      </c>
      <c r="AA100" s="367">
        <f t="shared" si="22"/>
        <v>0</v>
      </c>
      <c r="AB100" s="367">
        <f t="shared" si="22"/>
        <v>0</v>
      </c>
      <c r="AC100" s="367">
        <f t="shared" si="22"/>
        <v>0</v>
      </c>
      <c r="AD100" s="367">
        <f t="shared" si="22"/>
        <v>0</v>
      </c>
      <c r="AE100" s="367">
        <f t="shared" si="22"/>
        <v>0</v>
      </c>
      <c r="AF100" s="367">
        <f t="shared" si="22"/>
        <v>1403592544.9000001</v>
      </c>
      <c r="AG100" s="367">
        <f t="shared" si="22"/>
        <v>0</v>
      </c>
      <c r="AH100" s="367">
        <f t="shared" si="22"/>
        <v>0</v>
      </c>
      <c r="AI100" s="367">
        <f t="shared" si="22"/>
        <v>8642341966.5</v>
      </c>
      <c r="AJ100" s="367">
        <f t="shared" si="22"/>
        <v>1223780635</v>
      </c>
      <c r="AK100" s="367">
        <f t="shared" si="22"/>
        <v>21592118158.400002</v>
      </c>
    </row>
    <row r="101" spans="1:37" ht="30" customHeight="1" x14ac:dyDescent="0.2">
      <c r="A101" s="43"/>
      <c r="B101" s="44"/>
      <c r="C101" s="116"/>
      <c r="D101" s="44"/>
      <c r="E101" s="116"/>
      <c r="F101" s="116"/>
      <c r="G101" s="44"/>
      <c r="H101" s="116"/>
      <c r="I101" s="44"/>
      <c r="J101" s="116"/>
      <c r="K101" s="117"/>
      <c r="L101" s="117"/>
      <c r="M101" s="44"/>
      <c r="N101" s="116"/>
      <c r="O101" s="44"/>
      <c r="P101" s="116"/>
      <c r="Q101" s="350"/>
      <c r="R101" s="351"/>
      <c r="S101" s="350"/>
      <c r="T101" s="350"/>
      <c r="U101" s="350"/>
      <c r="V101" s="350"/>
      <c r="W101" s="350"/>
      <c r="X101" s="350"/>
      <c r="Y101" s="350"/>
      <c r="Z101" s="350"/>
      <c r="AA101" s="350"/>
      <c r="AB101" s="684"/>
      <c r="AC101" s="684"/>
      <c r="AD101" s="683"/>
      <c r="AE101" s="350"/>
      <c r="AF101" s="352"/>
      <c r="AG101" s="353"/>
      <c r="AH101" s="350"/>
      <c r="AI101" s="350"/>
      <c r="AJ101" s="351"/>
      <c r="AK101" s="350"/>
    </row>
    <row r="102" spans="1:37" ht="30" customHeight="1" x14ac:dyDescent="0.2">
      <c r="A102" s="679">
        <v>1</v>
      </c>
      <c r="B102" s="7" t="s">
        <v>134</v>
      </c>
      <c r="C102" s="8"/>
      <c r="D102" s="7"/>
      <c r="E102" s="7"/>
      <c r="F102" s="7"/>
      <c r="G102" s="7"/>
      <c r="H102" s="8"/>
      <c r="I102" s="7"/>
      <c r="J102" s="7"/>
      <c r="K102" s="92"/>
      <c r="L102" s="92"/>
      <c r="M102" s="578"/>
      <c r="N102" s="8"/>
      <c r="O102" s="7"/>
      <c r="P102" s="7"/>
      <c r="Q102" s="376"/>
      <c r="R102" s="376"/>
      <c r="S102" s="376"/>
      <c r="T102" s="376"/>
      <c r="U102" s="376"/>
      <c r="V102" s="376"/>
      <c r="W102" s="376"/>
      <c r="X102" s="376"/>
      <c r="Y102" s="376"/>
      <c r="Z102" s="376"/>
      <c r="AA102" s="376"/>
      <c r="AB102" s="376"/>
      <c r="AC102" s="376"/>
      <c r="AD102" s="376"/>
      <c r="AE102" s="376"/>
      <c r="AF102" s="377"/>
      <c r="AG102" s="376"/>
      <c r="AH102" s="376"/>
      <c r="AI102" s="376"/>
      <c r="AJ102" s="376"/>
      <c r="AK102" s="378"/>
    </row>
    <row r="103" spans="1:37" ht="30" customHeight="1" x14ac:dyDescent="0.2">
      <c r="A103" s="48"/>
      <c r="B103" s="118">
        <v>1</v>
      </c>
      <c r="C103" s="11" t="s">
        <v>135</v>
      </c>
      <c r="D103" s="12"/>
      <c r="E103" s="12"/>
      <c r="F103" s="12"/>
      <c r="G103" s="12"/>
      <c r="H103" s="13"/>
      <c r="I103" s="12"/>
      <c r="J103" s="12"/>
      <c r="K103" s="94"/>
      <c r="L103" s="94"/>
      <c r="M103" s="579"/>
      <c r="N103" s="13"/>
      <c r="O103" s="12"/>
      <c r="P103" s="12"/>
      <c r="Q103" s="357"/>
      <c r="R103" s="357"/>
      <c r="S103" s="357"/>
      <c r="T103" s="357"/>
      <c r="U103" s="357"/>
      <c r="V103" s="357"/>
      <c r="W103" s="357"/>
      <c r="X103" s="357"/>
      <c r="Y103" s="357"/>
      <c r="Z103" s="357"/>
      <c r="AA103" s="357"/>
      <c r="AB103" s="357"/>
      <c r="AC103" s="357"/>
      <c r="AD103" s="357"/>
      <c r="AE103" s="357"/>
      <c r="AF103" s="358"/>
      <c r="AG103" s="357"/>
      <c r="AH103" s="357"/>
      <c r="AI103" s="357"/>
      <c r="AJ103" s="357"/>
      <c r="AK103" s="362"/>
    </row>
    <row r="104" spans="1:37" ht="30" customHeight="1" x14ac:dyDescent="0.2">
      <c r="A104" s="16"/>
      <c r="B104" s="48"/>
      <c r="C104" s="3"/>
      <c r="D104" s="48"/>
      <c r="E104" s="48"/>
      <c r="F104" s="48"/>
      <c r="G104" s="50">
        <v>2</v>
      </c>
      <c r="H104" s="52" t="s">
        <v>136</v>
      </c>
      <c r="I104" s="52"/>
      <c r="J104" s="52"/>
      <c r="K104" s="96"/>
      <c r="L104" s="96"/>
      <c r="M104" s="581"/>
      <c r="N104" s="136"/>
      <c r="O104" s="52"/>
      <c r="P104" s="52"/>
      <c r="Q104" s="231"/>
      <c r="R104" s="231"/>
      <c r="S104" s="231"/>
      <c r="T104" s="231"/>
      <c r="U104" s="231"/>
      <c r="V104" s="231"/>
      <c r="W104" s="231"/>
      <c r="X104" s="231"/>
      <c r="Y104" s="231"/>
      <c r="Z104" s="231"/>
      <c r="AA104" s="231"/>
      <c r="AB104" s="231"/>
      <c r="AC104" s="231"/>
      <c r="AD104" s="231"/>
      <c r="AE104" s="231"/>
      <c r="AF104" s="359"/>
      <c r="AG104" s="231"/>
      <c r="AH104" s="231"/>
      <c r="AI104" s="231"/>
      <c r="AJ104" s="231"/>
      <c r="AK104" s="233"/>
    </row>
    <row r="105" spans="1:37" ht="78.75" customHeight="1" x14ac:dyDescent="0.2">
      <c r="A105" s="16"/>
      <c r="B105" s="16"/>
      <c r="C105" s="649">
        <v>3</v>
      </c>
      <c r="D105" s="644" t="s">
        <v>145</v>
      </c>
      <c r="E105" s="649" t="s">
        <v>137</v>
      </c>
      <c r="F105" s="649" t="s">
        <v>138</v>
      </c>
      <c r="G105" s="17"/>
      <c r="H105" s="673">
        <v>9</v>
      </c>
      <c r="I105" s="665" t="s">
        <v>139</v>
      </c>
      <c r="J105" s="673">
        <v>35</v>
      </c>
      <c r="K105" s="80">
        <v>5</v>
      </c>
      <c r="L105" s="20">
        <v>2017003630097</v>
      </c>
      <c r="M105" s="665" t="s">
        <v>140</v>
      </c>
      <c r="N105" s="18" t="s">
        <v>141</v>
      </c>
      <c r="O105" s="665" t="s">
        <v>142</v>
      </c>
      <c r="P105" s="673" t="s">
        <v>54</v>
      </c>
      <c r="Q105" s="346">
        <v>0</v>
      </c>
      <c r="R105" s="346">
        <v>0</v>
      </c>
      <c r="S105" s="544">
        <f>1074750000+159691948+22323484</f>
        <v>1256765432</v>
      </c>
      <c r="T105" s="346">
        <v>0</v>
      </c>
      <c r="U105" s="346">
        <v>0</v>
      </c>
      <c r="V105" s="346">
        <v>0</v>
      </c>
      <c r="W105" s="346">
        <v>0</v>
      </c>
      <c r="X105" s="346"/>
      <c r="Y105" s="346"/>
      <c r="Z105" s="346">
        <v>0</v>
      </c>
      <c r="AA105" s="346">
        <v>0</v>
      </c>
      <c r="AB105" s="346"/>
      <c r="AC105" s="346"/>
      <c r="AD105" s="346">
        <v>0</v>
      </c>
      <c r="AE105" s="544">
        <f>3800000+6592117</f>
        <v>10392117</v>
      </c>
      <c r="AF105" s="103"/>
      <c r="AG105" s="22"/>
      <c r="AH105" s="346">
        <v>0</v>
      </c>
      <c r="AI105" s="348"/>
      <c r="AJ105" s="348">
        <v>0</v>
      </c>
      <c r="AK105" s="346">
        <f t="shared" ref="AK105:AK110" si="23">Q105+R105+S105+T105+U105+V105+W105+X105+Y105+Z105+AA105+AB105+AC105+AD105+AE105+AF105+AG105+AH105+AI105+AJ105</f>
        <v>1267157549</v>
      </c>
    </row>
    <row r="106" spans="1:37" ht="78.75" customHeight="1" x14ac:dyDescent="0.2">
      <c r="A106" s="16"/>
      <c r="B106" s="16"/>
      <c r="C106" s="663">
        <v>3</v>
      </c>
      <c r="D106" s="665" t="s">
        <v>145</v>
      </c>
      <c r="E106" s="673" t="s">
        <v>137</v>
      </c>
      <c r="F106" s="673" t="s">
        <v>138</v>
      </c>
      <c r="G106" s="23"/>
      <c r="H106" s="673">
        <v>9</v>
      </c>
      <c r="I106" s="665" t="s">
        <v>139</v>
      </c>
      <c r="J106" s="673">
        <v>35</v>
      </c>
      <c r="K106" s="80">
        <v>5</v>
      </c>
      <c r="L106" s="20">
        <v>20170036300121</v>
      </c>
      <c r="M106" s="665" t="s">
        <v>140</v>
      </c>
      <c r="N106" s="18" t="s">
        <v>143</v>
      </c>
      <c r="O106" s="665" t="s">
        <v>144</v>
      </c>
      <c r="P106" s="673" t="s">
        <v>54</v>
      </c>
      <c r="Q106" s="346"/>
      <c r="R106" s="346"/>
      <c r="S106" s="540">
        <v>54317072</v>
      </c>
      <c r="T106" s="346"/>
      <c r="U106" s="346"/>
      <c r="V106" s="346"/>
      <c r="W106" s="346"/>
      <c r="X106" s="346"/>
      <c r="Y106" s="346"/>
      <c r="Z106" s="346"/>
      <c r="AA106" s="346"/>
      <c r="AB106" s="346"/>
      <c r="AC106" s="346"/>
      <c r="AD106" s="346">
        <v>0</v>
      </c>
      <c r="AE106" s="539">
        <f>646081112+126635520</f>
        <v>772716632</v>
      </c>
      <c r="AF106" s="349"/>
      <c r="AG106" s="349"/>
      <c r="AH106" s="346"/>
      <c r="AI106" s="348"/>
      <c r="AJ106" s="348"/>
      <c r="AK106" s="346">
        <f t="shared" si="23"/>
        <v>827033704</v>
      </c>
    </row>
    <row r="107" spans="1:37" ht="78.75" customHeight="1" x14ac:dyDescent="0.2">
      <c r="A107" s="16"/>
      <c r="B107" s="16"/>
      <c r="C107" s="663">
        <v>3</v>
      </c>
      <c r="D107" s="665" t="s">
        <v>145</v>
      </c>
      <c r="E107" s="673" t="s">
        <v>137</v>
      </c>
      <c r="F107" s="673" t="s">
        <v>138</v>
      </c>
      <c r="G107" s="23"/>
      <c r="H107" s="673">
        <v>10</v>
      </c>
      <c r="I107" s="665" t="s">
        <v>146</v>
      </c>
      <c r="J107" s="120">
        <v>1</v>
      </c>
      <c r="K107" s="121">
        <v>5</v>
      </c>
      <c r="L107" s="20">
        <v>20170036300118</v>
      </c>
      <c r="M107" s="665" t="s">
        <v>140</v>
      </c>
      <c r="N107" s="18" t="s">
        <v>147</v>
      </c>
      <c r="O107" s="665" t="s">
        <v>148</v>
      </c>
      <c r="P107" s="673" t="s">
        <v>54</v>
      </c>
      <c r="Q107" s="346">
        <v>0</v>
      </c>
      <c r="R107" s="346">
        <v>0</v>
      </c>
      <c r="S107" s="346">
        <v>0</v>
      </c>
      <c r="T107" s="346">
        <v>0</v>
      </c>
      <c r="U107" s="346">
        <v>0</v>
      </c>
      <c r="V107" s="346">
        <v>0</v>
      </c>
      <c r="W107" s="346">
        <v>0</v>
      </c>
      <c r="X107" s="346"/>
      <c r="Y107" s="346"/>
      <c r="Z107" s="346">
        <v>0</v>
      </c>
      <c r="AA107" s="346">
        <v>0</v>
      </c>
      <c r="AB107" s="346"/>
      <c r="AC107" s="346"/>
      <c r="AD107" s="346">
        <v>0</v>
      </c>
      <c r="AE107" s="103">
        <v>80000000</v>
      </c>
      <c r="AF107" s="347">
        <v>0</v>
      </c>
      <c r="AG107" s="360"/>
      <c r="AH107" s="346">
        <v>0</v>
      </c>
      <c r="AI107" s="348"/>
      <c r="AJ107" s="348">
        <v>0</v>
      </c>
      <c r="AK107" s="346">
        <f t="shared" si="23"/>
        <v>80000000</v>
      </c>
    </row>
    <row r="108" spans="1:37" s="557" customFormat="1" ht="78.75" customHeight="1" x14ac:dyDescent="0.25">
      <c r="A108" s="16"/>
      <c r="B108" s="16"/>
      <c r="C108" s="663">
        <v>3</v>
      </c>
      <c r="D108" s="665" t="s">
        <v>145</v>
      </c>
      <c r="E108" s="673" t="s">
        <v>137</v>
      </c>
      <c r="F108" s="673" t="s">
        <v>138</v>
      </c>
      <c r="G108" s="23"/>
      <c r="H108" s="673">
        <v>11</v>
      </c>
      <c r="I108" s="665" t="s">
        <v>149</v>
      </c>
      <c r="J108" s="673">
        <v>1</v>
      </c>
      <c r="K108" s="80">
        <v>1</v>
      </c>
      <c r="L108" s="20">
        <v>20170036300117</v>
      </c>
      <c r="M108" s="665" t="s">
        <v>140</v>
      </c>
      <c r="N108" s="18" t="s">
        <v>150</v>
      </c>
      <c r="O108" s="665" t="s">
        <v>866</v>
      </c>
      <c r="P108" s="673" t="s">
        <v>41</v>
      </c>
      <c r="Q108" s="346">
        <v>0</v>
      </c>
      <c r="R108" s="346">
        <v>0</v>
      </c>
      <c r="S108" s="346">
        <v>0</v>
      </c>
      <c r="T108" s="346">
        <v>0</v>
      </c>
      <c r="U108" s="346">
        <v>0</v>
      </c>
      <c r="V108" s="346">
        <v>0</v>
      </c>
      <c r="W108" s="346">
        <v>0</v>
      </c>
      <c r="X108" s="346"/>
      <c r="Y108" s="346"/>
      <c r="Z108" s="346">
        <v>0</v>
      </c>
      <c r="AA108" s="346">
        <v>0</v>
      </c>
      <c r="AB108" s="346"/>
      <c r="AC108" s="346"/>
      <c r="AD108" s="346">
        <v>0</v>
      </c>
      <c r="AE108" s="103">
        <v>312000000</v>
      </c>
      <c r="AF108" s="347">
        <v>0</v>
      </c>
      <c r="AG108" s="360"/>
      <c r="AH108" s="346">
        <v>0</v>
      </c>
      <c r="AI108" s="348"/>
      <c r="AJ108" s="348">
        <v>0</v>
      </c>
      <c r="AK108" s="346">
        <f t="shared" si="23"/>
        <v>312000000</v>
      </c>
    </row>
    <row r="109" spans="1:37" ht="78.75" customHeight="1" x14ac:dyDescent="0.2">
      <c r="A109" s="16"/>
      <c r="B109" s="16"/>
      <c r="C109" s="663">
        <v>3</v>
      </c>
      <c r="D109" s="665" t="s">
        <v>145</v>
      </c>
      <c r="E109" s="673" t="s">
        <v>137</v>
      </c>
      <c r="F109" s="673" t="s">
        <v>138</v>
      </c>
      <c r="G109" s="23"/>
      <c r="H109" s="673">
        <v>12</v>
      </c>
      <c r="I109" s="665" t="s">
        <v>151</v>
      </c>
      <c r="J109" s="673">
        <v>1</v>
      </c>
      <c r="K109" s="80">
        <v>3</v>
      </c>
      <c r="L109" s="20">
        <v>20170036300120</v>
      </c>
      <c r="M109" s="665" t="s">
        <v>140</v>
      </c>
      <c r="N109" s="18" t="s">
        <v>152</v>
      </c>
      <c r="O109" s="665" t="s">
        <v>153</v>
      </c>
      <c r="P109" s="673" t="s">
        <v>41</v>
      </c>
      <c r="Q109" s="346">
        <v>0</v>
      </c>
      <c r="R109" s="346">
        <v>0</v>
      </c>
      <c r="S109" s="346">
        <v>0</v>
      </c>
      <c r="T109" s="346">
        <v>0</v>
      </c>
      <c r="U109" s="346">
        <v>0</v>
      </c>
      <c r="V109" s="346">
        <v>0</v>
      </c>
      <c r="W109" s="346">
        <v>0</v>
      </c>
      <c r="X109" s="346"/>
      <c r="Y109" s="346"/>
      <c r="Z109" s="346">
        <v>0</v>
      </c>
      <c r="AA109" s="346">
        <v>0</v>
      </c>
      <c r="AB109" s="346"/>
      <c r="AC109" s="346"/>
      <c r="AD109" s="346">
        <v>0</v>
      </c>
      <c r="AE109" s="103">
        <v>1050000000</v>
      </c>
      <c r="AF109" s="347">
        <v>0</v>
      </c>
      <c r="AG109" s="360"/>
      <c r="AH109" s="346">
        <v>0</v>
      </c>
      <c r="AI109" s="348"/>
      <c r="AJ109" s="348">
        <v>0</v>
      </c>
      <c r="AK109" s="346">
        <f t="shared" si="23"/>
        <v>1050000000</v>
      </c>
    </row>
    <row r="110" spans="1:37" ht="78.75" customHeight="1" x14ac:dyDescent="0.2">
      <c r="A110" s="16"/>
      <c r="B110" s="16"/>
      <c r="C110" s="648">
        <v>3</v>
      </c>
      <c r="D110" s="642" t="s">
        <v>145</v>
      </c>
      <c r="E110" s="648" t="s">
        <v>137</v>
      </c>
      <c r="F110" s="648" t="s">
        <v>138</v>
      </c>
      <c r="G110" s="65"/>
      <c r="H110" s="673">
        <v>13</v>
      </c>
      <c r="I110" s="665" t="s">
        <v>154</v>
      </c>
      <c r="J110" s="673">
        <v>0</v>
      </c>
      <c r="K110" s="80">
        <v>2</v>
      </c>
      <c r="L110" s="20">
        <v>20170036300119</v>
      </c>
      <c r="M110" s="665" t="s">
        <v>140</v>
      </c>
      <c r="N110" s="18" t="s">
        <v>155</v>
      </c>
      <c r="O110" s="665" t="s">
        <v>156</v>
      </c>
      <c r="P110" s="673" t="s">
        <v>41</v>
      </c>
      <c r="Q110" s="346">
        <v>0</v>
      </c>
      <c r="R110" s="346">
        <v>0</v>
      </c>
      <c r="S110" s="350"/>
      <c r="T110" s="346">
        <v>0</v>
      </c>
      <c r="U110" s="346">
        <v>0</v>
      </c>
      <c r="V110" s="346">
        <v>0</v>
      </c>
      <c r="W110" s="346">
        <v>0</v>
      </c>
      <c r="X110" s="346"/>
      <c r="Y110" s="346"/>
      <c r="Z110" s="346">
        <v>0</v>
      </c>
      <c r="AA110" s="346">
        <v>0</v>
      </c>
      <c r="AB110" s="346"/>
      <c r="AC110" s="346"/>
      <c r="AD110" s="346">
        <v>0</v>
      </c>
      <c r="AE110" s="103">
        <v>300000000</v>
      </c>
      <c r="AF110" s="347">
        <v>0</v>
      </c>
      <c r="AG110" s="360"/>
      <c r="AH110" s="346">
        <v>0</v>
      </c>
      <c r="AI110" s="348"/>
      <c r="AJ110" s="348">
        <v>0</v>
      </c>
      <c r="AK110" s="346">
        <f t="shared" si="23"/>
        <v>300000000</v>
      </c>
    </row>
    <row r="111" spans="1:37" ht="30" customHeight="1" x14ac:dyDescent="0.2">
      <c r="A111" s="16"/>
      <c r="B111" s="29"/>
      <c r="C111" s="649"/>
      <c r="D111" s="644"/>
      <c r="E111" s="649"/>
      <c r="F111" s="649"/>
      <c r="G111" s="122"/>
      <c r="H111" s="122"/>
      <c r="I111" s="123"/>
      <c r="J111" s="122"/>
      <c r="K111" s="122"/>
      <c r="L111" s="122"/>
      <c r="M111" s="123"/>
      <c r="N111" s="122"/>
      <c r="O111" s="124"/>
      <c r="P111" s="122"/>
      <c r="Q111" s="379">
        <f t="shared" ref="Q111:AK111" si="24">SUM(Q105:Q110)</f>
        <v>0</v>
      </c>
      <c r="R111" s="379">
        <f t="shared" si="24"/>
        <v>0</v>
      </c>
      <c r="S111" s="379">
        <f t="shared" si="24"/>
        <v>1311082504</v>
      </c>
      <c r="T111" s="379">
        <f t="shared" si="24"/>
        <v>0</v>
      </c>
      <c r="U111" s="379">
        <f t="shared" si="24"/>
        <v>0</v>
      </c>
      <c r="V111" s="379">
        <f t="shared" si="24"/>
        <v>0</v>
      </c>
      <c r="W111" s="379">
        <f t="shared" si="24"/>
        <v>0</v>
      </c>
      <c r="X111" s="379">
        <f t="shared" si="24"/>
        <v>0</v>
      </c>
      <c r="Y111" s="379">
        <f t="shared" si="24"/>
        <v>0</v>
      </c>
      <c r="Z111" s="379">
        <f t="shared" si="24"/>
        <v>0</v>
      </c>
      <c r="AA111" s="379">
        <f t="shared" si="24"/>
        <v>0</v>
      </c>
      <c r="AB111" s="379">
        <f t="shared" si="24"/>
        <v>0</v>
      </c>
      <c r="AC111" s="379">
        <f t="shared" si="24"/>
        <v>0</v>
      </c>
      <c r="AD111" s="379">
        <f t="shared" si="24"/>
        <v>0</v>
      </c>
      <c r="AE111" s="379">
        <f t="shared" si="24"/>
        <v>2525108749</v>
      </c>
      <c r="AF111" s="379">
        <f t="shared" si="24"/>
        <v>0</v>
      </c>
      <c r="AG111" s="379">
        <f t="shared" si="24"/>
        <v>0</v>
      </c>
      <c r="AH111" s="379">
        <f t="shared" si="24"/>
        <v>0</v>
      </c>
      <c r="AI111" s="379">
        <f t="shared" si="24"/>
        <v>0</v>
      </c>
      <c r="AJ111" s="379">
        <f t="shared" si="24"/>
        <v>0</v>
      </c>
      <c r="AK111" s="379">
        <f t="shared" si="24"/>
        <v>3836191253</v>
      </c>
    </row>
    <row r="112" spans="1:37" ht="30" customHeight="1" x14ac:dyDescent="0.2">
      <c r="A112" s="29"/>
      <c r="B112" s="34"/>
      <c r="C112" s="70"/>
      <c r="D112" s="34"/>
      <c r="E112" s="35"/>
      <c r="F112" s="35"/>
      <c r="G112" s="34"/>
      <c r="H112" s="35"/>
      <c r="I112" s="34"/>
      <c r="J112" s="35"/>
      <c r="K112" s="35"/>
      <c r="L112" s="35"/>
      <c r="M112" s="34"/>
      <c r="N112" s="35"/>
      <c r="O112" s="34"/>
      <c r="P112" s="35"/>
      <c r="Q112" s="361">
        <f t="shared" ref="Q112:AK112" si="25">Q111</f>
        <v>0</v>
      </c>
      <c r="R112" s="361">
        <f t="shared" si="25"/>
        <v>0</v>
      </c>
      <c r="S112" s="361">
        <f t="shared" si="25"/>
        <v>1311082504</v>
      </c>
      <c r="T112" s="361">
        <f t="shared" si="25"/>
        <v>0</v>
      </c>
      <c r="U112" s="361">
        <f t="shared" si="25"/>
        <v>0</v>
      </c>
      <c r="V112" s="361">
        <f t="shared" si="25"/>
        <v>0</v>
      </c>
      <c r="W112" s="361">
        <f t="shared" si="25"/>
        <v>0</v>
      </c>
      <c r="X112" s="361">
        <f t="shared" si="25"/>
        <v>0</v>
      </c>
      <c r="Y112" s="361">
        <f t="shared" si="25"/>
        <v>0</v>
      </c>
      <c r="Z112" s="361">
        <f t="shared" si="25"/>
        <v>0</v>
      </c>
      <c r="AA112" s="361">
        <f t="shared" si="25"/>
        <v>0</v>
      </c>
      <c r="AB112" s="361">
        <f t="shared" si="25"/>
        <v>0</v>
      </c>
      <c r="AC112" s="361">
        <f t="shared" si="25"/>
        <v>0</v>
      </c>
      <c r="AD112" s="361">
        <f t="shared" si="25"/>
        <v>0</v>
      </c>
      <c r="AE112" s="361">
        <f t="shared" si="25"/>
        <v>2525108749</v>
      </c>
      <c r="AF112" s="361">
        <f t="shared" si="25"/>
        <v>0</v>
      </c>
      <c r="AG112" s="361">
        <f t="shared" si="25"/>
        <v>0</v>
      </c>
      <c r="AH112" s="361">
        <f t="shared" si="25"/>
        <v>0</v>
      </c>
      <c r="AI112" s="361">
        <f t="shared" si="25"/>
        <v>0</v>
      </c>
      <c r="AJ112" s="361">
        <f t="shared" si="25"/>
        <v>0</v>
      </c>
      <c r="AK112" s="361">
        <f t="shared" si="25"/>
        <v>3836191253</v>
      </c>
    </row>
    <row r="113" spans="1:37" ht="30" customHeight="1" x14ac:dyDescent="0.2">
      <c r="A113" s="37"/>
      <c r="B113" s="37"/>
      <c r="C113" s="37"/>
      <c r="D113" s="37"/>
      <c r="E113" s="37"/>
      <c r="F113" s="37"/>
      <c r="G113" s="37"/>
      <c r="H113" s="37"/>
      <c r="I113" s="37"/>
      <c r="J113" s="37"/>
      <c r="K113" s="37"/>
      <c r="L113" s="37"/>
      <c r="M113" s="37"/>
      <c r="N113" s="38"/>
      <c r="O113" s="37"/>
      <c r="P113" s="38"/>
      <c r="Q113" s="367">
        <f t="shared" ref="Q113:AK113" si="26">+Q112</f>
        <v>0</v>
      </c>
      <c r="R113" s="367">
        <f t="shared" si="26"/>
        <v>0</v>
      </c>
      <c r="S113" s="367">
        <f t="shared" si="26"/>
        <v>1311082504</v>
      </c>
      <c r="T113" s="367">
        <f t="shared" si="26"/>
        <v>0</v>
      </c>
      <c r="U113" s="367">
        <f t="shared" si="26"/>
        <v>0</v>
      </c>
      <c r="V113" s="367">
        <f t="shared" si="26"/>
        <v>0</v>
      </c>
      <c r="W113" s="367">
        <f t="shared" si="26"/>
        <v>0</v>
      </c>
      <c r="X113" s="367">
        <f t="shared" si="26"/>
        <v>0</v>
      </c>
      <c r="Y113" s="367">
        <f t="shared" si="26"/>
        <v>0</v>
      </c>
      <c r="Z113" s="367">
        <f t="shared" si="26"/>
        <v>0</v>
      </c>
      <c r="AA113" s="367">
        <f t="shared" si="26"/>
        <v>0</v>
      </c>
      <c r="AB113" s="367">
        <f t="shared" si="26"/>
        <v>0</v>
      </c>
      <c r="AC113" s="367">
        <f t="shared" si="26"/>
        <v>0</v>
      </c>
      <c r="AD113" s="367">
        <f t="shared" si="26"/>
        <v>0</v>
      </c>
      <c r="AE113" s="367">
        <f t="shared" si="26"/>
        <v>2525108749</v>
      </c>
      <c r="AF113" s="367">
        <f t="shared" si="26"/>
        <v>0</v>
      </c>
      <c r="AG113" s="367">
        <f t="shared" si="26"/>
        <v>0</v>
      </c>
      <c r="AH113" s="367">
        <f t="shared" si="26"/>
        <v>0</v>
      </c>
      <c r="AI113" s="367">
        <f t="shared" si="26"/>
        <v>0</v>
      </c>
      <c r="AJ113" s="367">
        <f t="shared" si="26"/>
        <v>0</v>
      </c>
      <c r="AK113" s="367">
        <f t="shared" si="26"/>
        <v>3836191253</v>
      </c>
    </row>
    <row r="114" spans="1:37" ht="30" customHeight="1" x14ac:dyDescent="0.2">
      <c r="A114" s="40"/>
      <c r="B114" s="40"/>
      <c r="C114" s="40"/>
      <c r="D114" s="40"/>
      <c r="E114" s="40"/>
      <c r="F114" s="40"/>
      <c r="G114" s="40"/>
      <c r="H114" s="40"/>
      <c r="I114" s="40"/>
      <c r="J114" s="40"/>
      <c r="K114" s="130"/>
      <c r="L114" s="40"/>
      <c r="M114" s="40"/>
      <c r="N114" s="41"/>
      <c r="O114" s="40"/>
      <c r="P114" s="41"/>
      <c r="Q114" s="368">
        <f t="shared" ref="Q114:AJ114" si="27">+Q113+Q100</f>
        <v>0</v>
      </c>
      <c r="R114" s="368">
        <f t="shared" si="27"/>
        <v>0</v>
      </c>
      <c r="S114" s="368">
        <f t="shared" si="27"/>
        <v>10896840365</v>
      </c>
      <c r="T114" s="368">
        <f t="shared" si="27"/>
        <v>0</v>
      </c>
      <c r="U114" s="368">
        <f t="shared" si="27"/>
        <v>0</v>
      </c>
      <c r="V114" s="368">
        <f t="shared" si="27"/>
        <v>736645151</v>
      </c>
      <c r="W114" s="368">
        <f t="shared" si="27"/>
        <v>0</v>
      </c>
      <c r="X114" s="368">
        <f t="shared" si="27"/>
        <v>0</v>
      </c>
      <c r="Y114" s="368">
        <f t="shared" si="27"/>
        <v>0</v>
      </c>
      <c r="Z114" s="368">
        <f t="shared" si="27"/>
        <v>0</v>
      </c>
      <c r="AA114" s="368">
        <f t="shared" si="27"/>
        <v>0</v>
      </c>
      <c r="AB114" s="368">
        <f t="shared" si="27"/>
        <v>0</v>
      </c>
      <c r="AC114" s="368">
        <f t="shared" si="27"/>
        <v>0</v>
      </c>
      <c r="AD114" s="368">
        <f t="shared" si="27"/>
        <v>0</v>
      </c>
      <c r="AE114" s="368">
        <f t="shared" si="27"/>
        <v>2525108749</v>
      </c>
      <c r="AF114" s="368">
        <f t="shared" si="27"/>
        <v>1403592544.9000001</v>
      </c>
      <c r="AG114" s="368">
        <f t="shared" si="27"/>
        <v>0</v>
      </c>
      <c r="AH114" s="368">
        <f t="shared" si="27"/>
        <v>0</v>
      </c>
      <c r="AI114" s="368">
        <f t="shared" si="27"/>
        <v>8642341966.5</v>
      </c>
      <c r="AJ114" s="368">
        <f t="shared" si="27"/>
        <v>1223780635</v>
      </c>
      <c r="AK114" s="368">
        <f>+AK113+AK100</f>
        <v>25428309411.400002</v>
      </c>
    </row>
    <row r="115" spans="1:37" ht="30" customHeight="1" x14ac:dyDescent="0.2">
      <c r="A115" s="43"/>
      <c r="B115" s="44"/>
      <c r="C115" s="116"/>
      <c r="D115" s="74"/>
      <c r="E115" s="116"/>
      <c r="F115" s="116"/>
      <c r="G115" s="44"/>
      <c r="H115" s="116"/>
      <c r="I115" s="44"/>
      <c r="J115" s="116"/>
      <c r="K115" s="116"/>
      <c r="L115" s="116"/>
      <c r="M115" s="44"/>
      <c r="N115" s="116"/>
      <c r="O115" s="44"/>
      <c r="P115" s="116"/>
      <c r="Q115" s="350"/>
      <c r="R115" s="351"/>
      <c r="S115" s="350"/>
      <c r="T115" s="350"/>
      <c r="U115" s="350"/>
      <c r="V115" s="350"/>
      <c r="W115" s="350"/>
      <c r="X115" s="350"/>
      <c r="Y115" s="350"/>
      <c r="Z115" s="350"/>
      <c r="AA115" s="350"/>
      <c r="AB115" s="351"/>
      <c r="AC115" s="351"/>
      <c r="AD115" s="350"/>
      <c r="AE115" s="350"/>
      <c r="AF115" s="352"/>
      <c r="AG115" s="350"/>
      <c r="AH115" s="350"/>
      <c r="AI115" s="350"/>
      <c r="AJ115" s="351"/>
      <c r="AK115" s="350"/>
    </row>
    <row r="116" spans="1:37" ht="30" customHeight="1" x14ac:dyDescent="0.2">
      <c r="A116" s="4" t="s">
        <v>159</v>
      </c>
      <c r="B116" s="5"/>
      <c r="C116" s="6"/>
      <c r="D116" s="89"/>
      <c r="E116" s="5"/>
      <c r="F116" s="5"/>
      <c r="G116" s="5"/>
      <c r="H116" s="6"/>
      <c r="I116" s="5"/>
      <c r="J116" s="5"/>
      <c r="K116" s="5"/>
      <c r="L116" s="5"/>
      <c r="M116" s="577"/>
      <c r="N116" s="6"/>
      <c r="O116" s="5"/>
      <c r="P116" s="6"/>
      <c r="Q116" s="413"/>
      <c r="R116" s="413"/>
      <c r="S116" s="413"/>
      <c r="T116" s="413"/>
      <c r="U116" s="413"/>
      <c r="V116" s="413"/>
      <c r="W116" s="413"/>
      <c r="X116" s="413"/>
      <c r="Y116" s="413"/>
      <c r="Z116" s="413"/>
      <c r="AA116" s="413"/>
      <c r="AB116" s="413"/>
      <c r="AC116" s="413"/>
      <c r="AD116" s="413"/>
      <c r="AE116" s="413"/>
      <c r="AF116" s="414"/>
      <c r="AG116" s="415"/>
      <c r="AH116" s="413"/>
      <c r="AI116" s="413"/>
      <c r="AJ116" s="413"/>
      <c r="AK116" s="413" t="s">
        <v>56</v>
      </c>
    </row>
    <row r="117" spans="1:37" ht="30" customHeight="1" x14ac:dyDescent="0.2">
      <c r="A117" s="679">
        <v>4</v>
      </c>
      <c r="B117" s="7" t="s">
        <v>157</v>
      </c>
      <c r="C117" s="8"/>
      <c r="D117" s="7"/>
      <c r="E117" s="7"/>
      <c r="F117" s="7"/>
      <c r="G117" s="7"/>
      <c r="H117" s="8"/>
      <c r="I117" s="7"/>
      <c r="J117" s="7"/>
      <c r="K117" s="7"/>
      <c r="L117" s="7"/>
      <c r="M117" s="578"/>
      <c r="N117" s="8"/>
      <c r="O117" s="7"/>
      <c r="P117" s="7"/>
      <c r="Q117" s="376"/>
      <c r="R117" s="376"/>
      <c r="S117" s="376"/>
      <c r="T117" s="376"/>
      <c r="U117" s="376"/>
      <c r="V117" s="376"/>
      <c r="W117" s="376"/>
      <c r="X117" s="376"/>
      <c r="Y117" s="376"/>
      <c r="Z117" s="376"/>
      <c r="AA117" s="376"/>
      <c r="AB117" s="376"/>
      <c r="AC117" s="376"/>
      <c r="AD117" s="376"/>
      <c r="AE117" s="376"/>
      <c r="AF117" s="377"/>
      <c r="AG117" s="376"/>
      <c r="AH117" s="376"/>
      <c r="AI117" s="376"/>
      <c r="AJ117" s="376"/>
      <c r="AK117" s="376"/>
    </row>
    <row r="118" spans="1:37" ht="30" customHeight="1" x14ac:dyDescent="0.2">
      <c r="A118" s="48"/>
      <c r="B118" s="118">
        <v>23</v>
      </c>
      <c r="C118" s="13" t="s">
        <v>160</v>
      </c>
      <c r="D118" s="12"/>
      <c r="E118" s="12"/>
      <c r="F118" s="12"/>
      <c r="G118" s="12"/>
      <c r="H118" s="13"/>
      <c r="I118" s="12"/>
      <c r="J118" s="12"/>
      <c r="K118" s="12"/>
      <c r="L118" s="12"/>
      <c r="M118" s="579"/>
      <c r="N118" s="13"/>
      <c r="O118" s="12"/>
      <c r="P118" s="12"/>
      <c r="Q118" s="357"/>
      <c r="R118" s="357"/>
      <c r="S118" s="357"/>
      <c r="T118" s="357"/>
      <c r="U118" s="357"/>
      <c r="V118" s="357"/>
      <c r="W118" s="357"/>
      <c r="X118" s="357"/>
      <c r="Y118" s="357"/>
      <c r="Z118" s="357"/>
      <c r="AA118" s="357"/>
      <c r="AB118" s="357"/>
      <c r="AC118" s="357"/>
      <c r="AD118" s="357"/>
      <c r="AE118" s="357"/>
      <c r="AF118" s="358"/>
      <c r="AG118" s="357"/>
      <c r="AH118" s="357"/>
      <c r="AI118" s="357"/>
      <c r="AJ118" s="357"/>
      <c r="AK118" s="357"/>
    </row>
    <row r="119" spans="1:37" ht="30" customHeight="1" thickBot="1" x14ac:dyDescent="0.25">
      <c r="A119" s="16"/>
      <c r="B119" s="48"/>
      <c r="C119" s="3"/>
      <c r="D119" s="48"/>
      <c r="E119" s="48"/>
      <c r="F119" s="48"/>
      <c r="G119" s="50">
        <v>75</v>
      </c>
      <c r="H119" s="52" t="s">
        <v>161</v>
      </c>
      <c r="I119" s="52"/>
      <c r="J119" s="52"/>
      <c r="K119" s="52"/>
      <c r="L119" s="52"/>
      <c r="M119" s="581"/>
      <c r="N119" s="136"/>
      <c r="O119" s="52"/>
      <c r="P119" s="52"/>
      <c r="Q119" s="231"/>
      <c r="R119" s="231"/>
      <c r="S119" s="231"/>
      <c r="T119" s="231"/>
      <c r="U119" s="231"/>
      <c r="V119" s="231"/>
      <c r="W119" s="231"/>
      <c r="X119" s="231"/>
      <c r="Y119" s="231"/>
      <c r="Z119" s="231"/>
      <c r="AA119" s="231"/>
      <c r="AB119" s="231"/>
      <c r="AC119" s="231"/>
      <c r="AD119" s="231"/>
      <c r="AE119" s="231"/>
      <c r="AF119" s="359"/>
      <c r="AG119" s="231"/>
      <c r="AH119" s="231"/>
      <c r="AI119" s="231"/>
      <c r="AJ119" s="231"/>
      <c r="AK119" s="231"/>
    </row>
    <row r="120" spans="1:37" ht="58.5" customHeight="1" x14ac:dyDescent="0.2">
      <c r="A120" s="16"/>
      <c r="B120" s="16"/>
      <c r="C120" s="732">
        <v>10</v>
      </c>
      <c r="D120" s="735" t="s">
        <v>162</v>
      </c>
      <c r="E120" s="732" t="s">
        <v>163</v>
      </c>
      <c r="F120" s="732" t="s">
        <v>164</v>
      </c>
      <c r="G120" s="17"/>
      <c r="H120" s="673">
        <v>214</v>
      </c>
      <c r="I120" s="665" t="s">
        <v>165</v>
      </c>
      <c r="J120" s="18" t="s">
        <v>32</v>
      </c>
      <c r="K120" s="131">
        <v>3</v>
      </c>
      <c r="L120" s="743">
        <v>2017003630010</v>
      </c>
      <c r="M120" s="737" t="s">
        <v>166</v>
      </c>
      <c r="N120" s="731" t="s">
        <v>167</v>
      </c>
      <c r="O120" s="734" t="s">
        <v>867</v>
      </c>
      <c r="P120" s="132" t="s">
        <v>54</v>
      </c>
      <c r="Q120" s="346">
        <v>0</v>
      </c>
      <c r="R120" s="346">
        <v>0</v>
      </c>
      <c r="S120" s="346">
        <v>0</v>
      </c>
      <c r="T120" s="381">
        <f>20000000</f>
        <v>20000000</v>
      </c>
      <c r="U120" s="346">
        <v>0</v>
      </c>
      <c r="V120" s="346">
        <v>0</v>
      </c>
      <c r="W120" s="346">
        <v>0</v>
      </c>
      <c r="X120" s="346"/>
      <c r="Y120" s="346"/>
      <c r="Z120" s="346">
        <v>0</v>
      </c>
      <c r="AA120" s="346">
        <v>0</v>
      </c>
      <c r="AB120" s="346"/>
      <c r="AC120" s="346"/>
      <c r="AD120" s="346">
        <v>0</v>
      </c>
      <c r="AE120" s="346">
        <v>0</v>
      </c>
      <c r="AF120" s="347">
        <f>22000000+8000000</f>
        <v>30000000</v>
      </c>
      <c r="AG120" s="360"/>
      <c r="AH120" s="346">
        <v>0</v>
      </c>
      <c r="AI120" s="348"/>
      <c r="AJ120" s="375">
        <v>0</v>
      </c>
      <c r="AK120" s="346">
        <f>Q120+R120+S120+T120+U120+V120+W120+X120+Y120+Z120+AA120+AB120+AC120+AD120+AE120+AF120+AG120+AH120+AI120+AJ120</f>
        <v>50000000</v>
      </c>
    </row>
    <row r="121" spans="1:37" ht="58.5" customHeight="1" x14ac:dyDescent="0.2">
      <c r="A121" s="16"/>
      <c r="B121" s="16"/>
      <c r="C121" s="732"/>
      <c r="D121" s="735"/>
      <c r="E121" s="732"/>
      <c r="F121" s="732"/>
      <c r="G121" s="23"/>
      <c r="H121" s="673">
        <v>215</v>
      </c>
      <c r="I121" s="665" t="s">
        <v>168</v>
      </c>
      <c r="J121" s="18">
        <v>10</v>
      </c>
      <c r="K121" s="131">
        <v>3</v>
      </c>
      <c r="L121" s="744"/>
      <c r="M121" s="738"/>
      <c r="N121" s="732"/>
      <c r="O121" s="735"/>
      <c r="P121" s="133" t="s">
        <v>36</v>
      </c>
      <c r="Q121" s="346">
        <v>0</v>
      </c>
      <c r="R121" s="346">
        <v>0</v>
      </c>
      <c r="S121" s="346">
        <v>0</v>
      </c>
      <c r="T121" s="383">
        <v>70000000</v>
      </c>
      <c r="U121" s="346">
        <v>0</v>
      </c>
      <c r="V121" s="346">
        <v>0</v>
      </c>
      <c r="W121" s="346">
        <v>0</v>
      </c>
      <c r="X121" s="346"/>
      <c r="Y121" s="346"/>
      <c r="Z121" s="346">
        <v>0</v>
      </c>
      <c r="AA121" s="346">
        <v>0</v>
      </c>
      <c r="AB121" s="346"/>
      <c r="AC121" s="346"/>
      <c r="AD121" s="346">
        <v>0</v>
      </c>
      <c r="AE121" s="346">
        <v>0</v>
      </c>
      <c r="AF121" s="347"/>
      <c r="AG121" s="360"/>
      <c r="AH121" s="346">
        <v>0</v>
      </c>
      <c r="AI121" s="346"/>
      <c r="AJ121" s="346">
        <v>0</v>
      </c>
      <c r="AK121" s="346">
        <f>Q121+R121+S121+T121+U121+V121+W121+X121+Y121+Z121+AA121+AB121+AC121+AD121+AE121+AF121+AG121+AH121+AI121+AJ121</f>
        <v>70000000</v>
      </c>
    </row>
    <row r="122" spans="1:37" ht="58.5" customHeight="1" x14ac:dyDescent="0.2">
      <c r="A122" s="16"/>
      <c r="B122" s="16"/>
      <c r="C122" s="732"/>
      <c r="D122" s="736"/>
      <c r="E122" s="733"/>
      <c r="F122" s="733"/>
      <c r="G122" s="23"/>
      <c r="H122" s="673">
        <v>216</v>
      </c>
      <c r="I122" s="665" t="s">
        <v>169</v>
      </c>
      <c r="J122" s="673" t="s">
        <v>170</v>
      </c>
      <c r="K122" s="327">
        <v>2</v>
      </c>
      <c r="L122" s="744"/>
      <c r="M122" s="738"/>
      <c r="N122" s="732"/>
      <c r="O122" s="735"/>
      <c r="P122" s="133" t="s">
        <v>54</v>
      </c>
      <c r="Q122" s="346">
        <v>0</v>
      </c>
      <c r="R122" s="346">
        <v>0</v>
      </c>
      <c r="S122" s="346">
        <v>0</v>
      </c>
      <c r="T122" s="383">
        <f>150000000+635000000</f>
        <v>785000000</v>
      </c>
      <c r="U122" s="346">
        <v>0</v>
      </c>
      <c r="V122" s="346">
        <v>0</v>
      </c>
      <c r="W122" s="346">
        <v>0</v>
      </c>
      <c r="X122" s="346"/>
      <c r="Y122" s="346"/>
      <c r="Z122" s="346">
        <v>0</v>
      </c>
      <c r="AA122" s="346">
        <v>0</v>
      </c>
      <c r="AB122" s="346"/>
      <c r="AC122" s="346"/>
      <c r="AD122" s="346">
        <v>0</v>
      </c>
      <c r="AE122" s="346">
        <v>0</v>
      </c>
      <c r="AF122" s="347">
        <v>0</v>
      </c>
      <c r="AG122" s="360"/>
      <c r="AH122" s="346">
        <v>0</v>
      </c>
      <c r="AI122" s="348"/>
      <c r="AJ122" s="348">
        <v>0</v>
      </c>
      <c r="AK122" s="346">
        <f>Q122+R122+S122+T122+U122+V122+W122+X122+Y122+Z122+AA122+AB122+AC122+AD122+AE122+AF122+AG122+AH122+AI122+AJ122</f>
        <v>785000000</v>
      </c>
    </row>
    <row r="123" spans="1:37" ht="58.5" customHeight="1" x14ac:dyDescent="0.2">
      <c r="A123" s="16"/>
      <c r="B123" s="16"/>
      <c r="C123" s="732">
        <v>12</v>
      </c>
      <c r="D123" s="734" t="s">
        <v>171</v>
      </c>
      <c r="E123" s="732">
        <v>3166</v>
      </c>
      <c r="F123" s="732">
        <v>2500</v>
      </c>
      <c r="G123" s="23"/>
      <c r="H123" s="673">
        <v>217</v>
      </c>
      <c r="I123" s="665" t="s">
        <v>172</v>
      </c>
      <c r="J123" s="673" t="s">
        <v>170</v>
      </c>
      <c r="K123" s="327">
        <v>5</v>
      </c>
      <c r="L123" s="744"/>
      <c r="M123" s="738"/>
      <c r="N123" s="732"/>
      <c r="O123" s="735"/>
      <c r="P123" s="132" t="s">
        <v>41</v>
      </c>
      <c r="Q123" s="346">
        <v>0</v>
      </c>
      <c r="R123" s="346">
        <v>0</v>
      </c>
      <c r="S123" s="346">
        <v>0</v>
      </c>
      <c r="T123" s="540">
        <f>1693400000+3039835512.38+8159012-400000000</f>
        <v>4341394524.3800001</v>
      </c>
      <c r="U123" s="346"/>
      <c r="V123" s="346">
        <v>0</v>
      </c>
      <c r="W123" s="346">
        <v>0</v>
      </c>
      <c r="X123" s="346"/>
      <c r="Y123" s="346"/>
      <c r="Z123" s="346">
        <v>0</v>
      </c>
      <c r="AA123" s="346">
        <v>0</v>
      </c>
      <c r="AB123" s="346"/>
      <c r="AC123" s="346"/>
      <c r="AD123" s="346">
        <v>0</v>
      </c>
      <c r="AE123" s="346">
        <v>0</v>
      </c>
      <c r="AF123" s="347">
        <v>0</v>
      </c>
      <c r="AG123" s="360"/>
      <c r="AH123" s="346">
        <v>0</v>
      </c>
      <c r="AI123" s="348"/>
      <c r="AJ123" s="348">
        <v>0</v>
      </c>
      <c r="AK123" s="533">
        <f>Q123+R123+S123+T123+U123+V123+W123+X123+Y123+Z123+AA123+AB123+AC123+AD123+AE123+AF123+AG123+AH123+AI123+AJ123</f>
        <v>4341394524.3800001</v>
      </c>
    </row>
    <row r="124" spans="1:37" ht="48.75" customHeight="1" x14ac:dyDescent="0.2">
      <c r="A124" s="16"/>
      <c r="B124" s="16"/>
      <c r="C124" s="732"/>
      <c r="D124" s="735"/>
      <c r="E124" s="732"/>
      <c r="F124" s="732"/>
      <c r="G124" s="65"/>
      <c r="H124" s="673">
        <v>218</v>
      </c>
      <c r="I124" s="665" t="s">
        <v>173</v>
      </c>
      <c r="J124" s="18">
        <v>3</v>
      </c>
      <c r="K124" s="19">
        <v>3</v>
      </c>
      <c r="L124" s="745"/>
      <c r="M124" s="739"/>
      <c r="N124" s="733"/>
      <c r="O124" s="736"/>
      <c r="P124" s="132" t="s">
        <v>41</v>
      </c>
      <c r="Q124" s="346">
        <v>0</v>
      </c>
      <c r="R124" s="346">
        <v>0</v>
      </c>
      <c r="S124" s="346">
        <v>0</v>
      </c>
      <c r="T124" s="383">
        <v>260000000</v>
      </c>
      <c r="U124" s="346">
        <v>0</v>
      </c>
      <c r="V124" s="346">
        <v>0</v>
      </c>
      <c r="W124" s="346">
        <v>0</v>
      </c>
      <c r="X124" s="346"/>
      <c r="Y124" s="346"/>
      <c r="Z124" s="346">
        <v>0</v>
      </c>
      <c r="AA124" s="346">
        <v>0</v>
      </c>
      <c r="AB124" s="346"/>
      <c r="AC124" s="346"/>
      <c r="AD124" s="346">
        <v>0</v>
      </c>
      <c r="AE124" s="346">
        <v>0</v>
      </c>
      <c r="AF124" s="347">
        <v>0</v>
      </c>
      <c r="AG124" s="360"/>
      <c r="AH124" s="346">
        <v>0</v>
      </c>
      <c r="AI124" s="348"/>
      <c r="AJ124" s="348">
        <v>0</v>
      </c>
      <c r="AK124" s="346">
        <f>Q124+R124+S124+T124+U124+V124+W124+X124+Y124+Z124+AA124+AB124+AC124+AD124+AE124+AF124+AG124+AH124+AI124+AJ124</f>
        <v>260000000</v>
      </c>
    </row>
    <row r="125" spans="1:37" ht="30" customHeight="1" x14ac:dyDescent="0.2">
      <c r="A125" s="16"/>
      <c r="B125" s="16"/>
      <c r="C125" s="649"/>
      <c r="D125" s="644"/>
      <c r="E125" s="649"/>
      <c r="F125" s="649"/>
      <c r="G125" s="30"/>
      <c r="H125" s="31"/>
      <c r="I125" s="30"/>
      <c r="J125" s="32"/>
      <c r="K125" s="56"/>
      <c r="L125" s="56"/>
      <c r="M125" s="151"/>
      <c r="N125" s="31"/>
      <c r="O125" s="30"/>
      <c r="P125" s="31"/>
      <c r="Q125" s="355">
        <f t="shared" ref="Q125:AJ125" si="28">SUM(Q120:Q124)</f>
        <v>0</v>
      </c>
      <c r="R125" s="355">
        <f t="shared" si="28"/>
        <v>0</v>
      </c>
      <c r="S125" s="355">
        <f t="shared" si="28"/>
        <v>0</v>
      </c>
      <c r="T125" s="355">
        <f t="shared" si="28"/>
        <v>5476394524.3800001</v>
      </c>
      <c r="U125" s="355">
        <f t="shared" si="28"/>
        <v>0</v>
      </c>
      <c r="V125" s="355">
        <f t="shared" si="28"/>
        <v>0</v>
      </c>
      <c r="W125" s="355">
        <f t="shared" si="28"/>
        <v>0</v>
      </c>
      <c r="X125" s="355">
        <f t="shared" si="28"/>
        <v>0</v>
      </c>
      <c r="Y125" s="355">
        <f t="shared" si="28"/>
        <v>0</v>
      </c>
      <c r="Z125" s="355">
        <f t="shared" si="28"/>
        <v>0</v>
      </c>
      <c r="AA125" s="355">
        <f t="shared" si="28"/>
        <v>0</v>
      </c>
      <c r="AB125" s="355">
        <f t="shared" si="28"/>
        <v>0</v>
      </c>
      <c r="AC125" s="355">
        <f t="shared" si="28"/>
        <v>0</v>
      </c>
      <c r="AD125" s="355">
        <f t="shared" si="28"/>
        <v>0</v>
      </c>
      <c r="AE125" s="355">
        <f t="shared" si="28"/>
        <v>0</v>
      </c>
      <c r="AF125" s="355">
        <f t="shared" si="28"/>
        <v>30000000</v>
      </c>
      <c r="AG125" s="355">
        <f t="shared" si="28"/>
        <v>0</v>
      </c>
      <c r="AH125" s="355">
        <f t="shared" si="28"/>
        <v>0</v>
      </c>
      <c r="AI125" s="355">
        <f t="shared" si="28"/>
        <v>0</v>
      </c>
      <c r="AJ125" s="355">
        <f t="shared" si="28"/>
        <v>0</v>
      </c>
      <c r="AK125" s="536">
        <f>SUM(AK120:AK124)</f>
        <v>5506394524.3800001</v>
      </c>
    </row>
    <row r="126" spans="1:37" ht="30" customHeight="1" x14ac:dyDescent="0.2">
      <c r="A126" s="16"/>
      <c r="B126" s="16"/>
      <c r="C126" s="105"/>
      <c r="D126" s="44"/>
      <c r="E126" s="116"/>
      <c r="F126" s="116"/>
      <c r="G126" s="44"/>
      <c r="H126" s="116"/>
      <c r="I126" s="44"/>
      <c r="J126" s="45"/>
      <c r="K126" s="55"/>
      <c r="L126" s="55"/>
      <c r="M126" s="62"/>
      <c r="N126" s="116"/>
      <c r="O126" s="44"/>
      <c r="P126" s="116"/>
      <c r="Q126" s="350"/>
      <c r="R126" s="351"/>
      <c r="S126" s="350"/>
      <c r="T126" s="350"/>
      <c r="U126" s="350"/>
      <c r="V126" s="350"/>
      <c r="W126" s="350"/>
      <c r="X126" s="350"/>
      <c r="Y126" s="350"/>
      <c r="Z126" s="350"/>
      <c r="AA126" s="350"/>
      <c r="AB126" s="351"/>
      <c r="AC126" s="351"/>
      <c r="AD126" s="350"/>
      <c r="AE126" s="350"/>
      <c r="AF126" s="352"/>
      <c r="AG126" s="353"/>
      <c r="AH126" s="350"/>
      <c r="AI126" s="350"/>
      <c r="AJ126" s="351"/>
      <c r="AK126" s="535"/>
    </row>
    <row r="127" spans="1:37" ht="30" customHeight="1" x14ac:dyDescent="0.2">
      <c r="A127" s="16"/>
      <c r="B127" s="16"/>
      <c r="C127" s="648"/>
      <c r="D127" s="642"/>
      <c r="E127" s="648"/>
      <c r="F127" s="648"/>
      <c r="G127" s="50">
        <v>76</v>
      </c>
      <c r="H127" s="52" t="s">
        <v>174</v>
      </c>
      <c r="I127" s="127"/>
      <c r="J127" s="127"/>
      <c r="K127" s="64"/>
      <c r="L127" s="64"/>
      <c r="M127" s="584"/>
      <c r="N127" s="338"/>
      <c r="O127" s="127"/>
      <c r="P127" s="52"/>
      <c r="Q127" s="231"/>
      <c r="R127" s="231"/>
      <c r="S127" s="231"/>
      <c r="T127" s="231"/>
      <c r="U127" s="231"/>
      <c r="V127" s="231"/>
      <c r="W127" s="231"/>
      <c r="X127" s="231"/>
      <c r="Y127" s="231"/>
      <c r="Z127" s="231"/>
      <c r="AA127" s="231"/>
      <c r="AB127" s="231"/>
      <c r="AC127" s="231"/>
      <c r="AD127" s="231"/>
      <c r="AE127" s="231"/>
      <c r="AF127" s="359"/>
      <c r="AG127" s="231"/>
      <c r="AH127" s="231"/>
      <c r="AI127" s="231"/>
      <c r="AJ127" s="231"/>
      <c r="AK127" s="233"/>
    </row>
    <row r="128" spans="1:37" ht="65.25" customHeight="1" x14ac:dyDescent="0.2">
      <c r="A128" s="16"/>
      <c r="B128" s="16"/>
      <c r="C128" s="732">
        <v>10</v>
      </c>
      <c r="D128" s="735" t="s">
        <v>162</v>
      </c>
      <c r="E128" s="732" t="s">
        <v>163</v>
      </c>
      <c r="F128" s="732" t="s">
        <v>164</v>
      </c>
      <c r="G128" s="17"/>
      <c r="H128" s="673">
        <v>219</v>
      </c>
      <c r="I128" s="665" t="s">
        <v>175</v>
      </c>
      <c r="J128" s="18" t="s">
        <v>32</v>
      </c>
      <c r="K128" s="26">
        <v>11</v>
      </c>
      <c r="L128" s="744">
        <v>2017003630011</v>
      </c>
      <c r="M128" s="737" t="s">
        <v>176</v>
      </c>
      <c r="N128" s="731" t="s">
        <v>177</v>
      </c>
      <c r="O128" s="734" t="s">
        <v>868</v>
      </c>
      <c r="P128" s="673" t="s">
        <v>54</v>
      </c>
      <c r="Q128" s="346">
        <v>0</v>
      </c>
      <c r="R128" s="346">
        <v>0</v>
      </c>
      <c r="S128" s="346">
        <v>0</v>
      </c>
      <c r="T128" s="547">
        <f>250000000+250000000+11961488</f>
        <v>511961488</v>
      </c>
      <c r="U128" s="346">
        <v>0</v>
      </c>
      <c r="V128" s="346">
        <v>0</v>
      </c>
      <c r="W128" s="346">
        <v>0</v>
      </c>
      <c r="X128" s="346"/>
      <c r="Y128" s="346"/>
      <c r="Z128" s="346">
        <v>0</v>
      </c>
      <c r="AA128" s="346">
        <v>0</v>
      </c>
      <c r="AB128" s="346"/>
      <c r="AC128" s="346"/>
      <c r="AD128" s="346">
        <v>0</v>
      </c>
      <c r="AE128" s="346">
        <v>0</v>
      </c>
      <c r="AF128" s="347"/>
      <c r="AG128" s="347"/>
      <c r="AH128" s="346">
        <v>0</v>
      </c>
      <c r="AI128" s="348"/>
      <c r="AJ128" s="348">
        <v>0</v>
      </c>
      <c r="AK128" s="346">
        <f>Q128+R128+S128+T128+U128+V128+W128+X128+Y128+Z128+AA128+AB128+AC128+AD128+AE128+AF128+AG128+AH128+AI128+AJ128</f>
        <v>511961488</v>
      </c>
    </row>
    <row r="129" spans="1:37" ht="45" customHeight="1" x14ac:dyDescent="0.2">
      <c r="A129" s="16"/>
      <c r="B129" s="16"/>
      <c r="C129" s="733"/>
      <c r="D129" s="736"/>
      <c r="E129" s="733"/>
      <c r="F129" s="733"/>
      <c r="G129" s="23"/>
      <c r="H129" s="673">
        <v>220</v>
      </c>
      <c r="I129" s="665" t="s">
        <v>178</v>
      </c>
      <c r="J129" s="18">
        <v>0</v>
      </c>
      <c r="K129" s="24">
        <v>12</v>
      </c>
      <c r="L129" s="744"/>
      <c r="M129" s="738"/>
      <c r="N129" s="732"/>
      <c r="O129" s="735"/>
      <c r="P129" s="673" t="s">
        <v>54</v>
      </c>
      <c r="Q129" s="346">
        <v>0</v>
      </c>
      <c r="R129" s="346">
        <v>0</v>
      </c>
      <c r="S129" s="346">
        <v>0</v>
      </c>
      <c r="T129" s="347">
        <f>250000000+330000000</f>
        <v>580000000</v>
      </c>
      <c r="U129" s="346">
        <v>0</v>
      </c>
      <c r="V129" s="346">
        <v>0</v>
      </c>
      <c r="W129" s="346">
        <v>0</v>
      </c>
      <c r="X129" s="346"/>
      <c r="Y129" s="346"/>
      <c r="Z129" s="346">
        <v>0</v>
      </c>
      <c r="AA129" s="346">
        <v>0</v>
      </c>
      <c r="AB129" s="346"/>
      <c r="AC129" s="346"/>
      <c r="AD129" s="346">
        <v>0</v>
      </c>
      <c r="AE129" s="346">
        <v>0</v>
      </c>
      <c r="AF129" s="547">
        <f>100000000+80000000+60000000</f>
        <v>240000000</v>
      </c>
      <c r="AG129" s="347"/>
      <c r="AH129" s="346">
        <v>0</v>
      </c>
      <c r="AI129" s="348"/>
      <c r="AJ129" s="348">
        <v>0</v>
      </c>
      <c r="AK129" s="346">
        <f>Q129+R129+S129+T129+U129+V129+W129+X129+Y129+Z129+AA129+AB129+AC129+AD129+AE129+AF129+AG129+AH129+AI129+AJ129</f>
        <v>820000000</v>
      </c>
    </row>
    <row r="130" spans="1:37" ht="45" customHeight="1" x14ac:dyDescent="0.2">
      <c r="A130" s="16"/>
      <c r="B130" s="16"/>
      <c r="C130" s="731">
        <v>12</v>
      </c>
      <c r="D130" s="734" t="s">
        <v>171</v>
      </c>
      <c r="E130" s="731">
        <v>3166</v>
      </c>
      <c r="F130" s="731">
        <v>2500</v>
      </c>
      <c r="G130" s="23"/>
      <c r="H130" s="673">
        <v>221</v>
      </c>
      <c r="I130" s="665" t="s">
        <v>179</v>
      </c>
      <c r="J130" s="18">
        <v>1</v>
      </c>
      <c r="K130" s="19">
        <v>1</v>
      </c>
      <c r="L130" s="744"/>
      <c r="M130" s="738"/>
      <c r="N130" s="732"/>
      <c r="O130" s="735"/>
      <c r="P130" s="673" t="s">
        <v>41</v>
      </c>
      <c r="Q130" s="346">
        <v>0</v>
      </c>
      <c r="R130" s="346">
        <v>0</v>
      </c>
      <c r="S130" s="346">
        <v>0</v>
      </c>
      <c r="T130" s="347">
        <v>23300000</v>
      </c>
      <c r="U130" s="346">
        <v>0</v>
      </c>
      <c r="V130" s="346">
        <v>0</v>
      </c>
      <c r="W130" s="346">
        <v>0</v>
      </c>
      <c r="X130" s="346"/>
      <c r="Y130" s="346"/>
      <c r="Z130" s="346">
        <v>0</v>
      </c>
      <c r="AA130" s="346">
        <v>0</v>
      </c>
      <c r="AB130" s="346"/>
      <c r="AC130" s="346"/>
      <c r="AD130" s="346">
        <v>0</v>
      </c>
      <c r="AE130" s="346">
        <v>0</v>
      </c>
      <c r="AF130" s="347">
        <v>8000000</v>
      </c>
      <c r="AG130" s="347"/>
      <c r="AH130" s="346">
        <v>0</v>
      </c>
      <c r="AI130" s="348"/>
      <c r="AJ130" s="348">
        <v>0</v>
      </c>
      <c r="AK130" s="346">
        <f>Q130+R130+S130+T130+U130+V130+W130+X130+Y130+Z130+AA130+AB130+AC130+AD130+AE130+AF130+AG130+AH130+AI130+AJ130</f>
        <v>31300000</v>
      </c>
    </row>
    <row r="131" spans="1:37" ht="45" customHeight="1" x14ac:dyDescent="0.2">
      <c r="A131" s="16"/>
      <c r="B131" s="16"/>
      <c r="C131" s="732"/>
      <c r="D131" s="735"/>
      <c r="E131" s="732"/>
      <c r="F131" s="732"/>
      <c r="G131" s="65"/>
      <c r="H131" s="673">
        <v>222</v>
      </c>
      <c r="I131" s="665" t="s">
        <v>180</v>
      </c>
      <c r="J131" s="18">
        <v>1</v>
      </c>
      <c r="K131" s="19">
        <v>1</v>
      </c>
      <c r="L131" s="745"/>
      <c r="M131" s="739"/>
      <c r="N131" s="733"/>
      <c r="O131" s="736"/>
      <c r="P131" s="673" t="s">
        <v>41</v>
      </c>
      <c r="Q131" s="346">
        <v>0</v>
      </c>
      <c r="R131" s="346">
        <v>0</v>
      </c>
      <c r="S131" s="346">
        <v>0</v>
      </c>
      <c r="T131" s="346">
        <v>23300000</v>
      </c>
      <c r="U131" s="346">
        <v>0</v>
      </c>
      <c r="V131" s="346">
        <v>0</v>
      </c>
      <c r="W131" s="346">
        <v>0</v>
      </c>
      <c r="X131" s="346"/>
      <c r="Y131" s="346"/>
      <c r="Z131" s="346">
        <v>0</v>
      </c>
      <c r="AA131" s="346">
        <v>0</v>
      </c>
      <c r="AB131" s="346"/>
      <c r="AC131" s="346"/>
      <c r="AD131" s="346">
        <v>0</v>
      </c>
      <c r="AE131" s="346">
        <v>0</v>
      </c>
      <c r="AF131" s="349">
        <v>12000000</v>
      </c>
      <c r="AG131" s="349"/>
      <c r="AH131" s="346">
        <v>0</v>
      </c>
      <c r="AI131" s="348"/>
      <c r="AJ131" s="348">
        <v>0</v>
      </c>
      <c r="AK131" s="346">
        <f>Q131+R131+S131+T131+U131+V131+W131+X131+Y131+Z131+AA131+AB131+AC131+AD131+AE131+AF131+AG131+AH131+AI131+AJ131</f>
        <v>35300000</v>
      </c>
    </row>
    <row r="132" spans="1:37" ht="30" customHeight="1" x14ac:dyDescent="0.2">
      <c r="A132" s="16"/>
      <c r="B132" s="29"/>
      <c r="C132" s="649"/>
      <c r="D132" s="644"/>
      <c r="E132" s="649"/>
      <c r="F132" s="649"/>
      <c r="G132" s="135"/>
      <c r="H132" s="136"/>
      <c r="I132" s="52"/>
      <c r="J132" s="52"/>
      <c r="K132" s="137"/>
      <c r="L132" s="64"/>
      <c r="M132" s="581"/>
      <c r="N132" s="136"/>
      <c r="O132" s="52"/>
      <c r="P132" s="52"/>
      <c r="Q132" s="384">
        <f t="shared" ref="Q132:AJ132" si="29">SUM(Q128:Q131)</f>
        <v>0</v>
      </c>
      <c r="R132" s="384">
        <f t="shared" si="29"/>
        <v>0</v>
      </c>
      <c r="S132" s="384">
        <f t="shared" si="29"/>
        <v>0</v>
      </c>
      <c r="T132" s="384">
        <f t="shared" si="29"/>
        <v>1138561488</v>
      </c>
      <c r="U132" s="384">
        <f t="shared" si="29"/>
        <v>0</v>
      </c>
      <c r="V132" s="384">
        <f t="shared" si="29"/>
        <v>0</v>
      </c>
      <c r="W132" s="384">
        <f t="shared" si="29"/>
        <v>0</v>
      </c>
      <c r="X132" s="384">
        <f t="shared" si="29"/>
        <v>0</v>
      </c>
      <c r="Y132" s="384">
        <f t="shared" si="29"/>
        <v>0</v>
      </c>
      <c r="Z132" s="384">
        <f t="shared" si="29"/>
        <v>0</v>
      </c>
      <c r="AA132" s="384">
        <f t="shared" si="29"/>
        <v>0</v>
      </c>
      <c r="AB132" s="384">
        <f t="shared" si="29"/>
        <v>0</v>
      </c>
      <c r="AC132" s="384">
        <f t="shared" si="29"/>
        <v>0</v>
      </c>
      <c r="AD132" s="384">
        <f t="shared" si="29"/>
        <v>0</v>
      </c>
      <c r="AE132" s="384">
        <f t="shared" si="29"/>
        <v>0</v>
      </c>
      <c r="AF132" s="384">
        <f t="shared" si="29"/>
        <v>260000000</v>
      </c>
      <c r="AG132" s="384">
        <f t="shared" si="29"/>
        <v>0</v>
      </c>
      <c r="AH132" s="384">
        <f t="shared" si="29"/>
        <v>0</v>
      </c>
      <c r="AI132" s="384">
        <f t="shared" si="29"/>
        <v>0</v>
      </c>
      <c r="AJ132" s="384">
        <f t="shared" si="29"/>
        <v>0</v>
      </c>
      <c r="AK132" s="384">
        <f>SUM(AK128:AK131)</f>
        <v>1398561488</v>
      </c>
    </row>
    <row r="133" spans="1:37" ht="30" customHeight="1" x14ac:dyDescent="0.2">
      <c r="A133" s="16"/>
      <c r="B133" s="34"/>
      <c r="C133" s="70"/>
      <c r="D133" s="34"/>
      <c r="E133" s="35"/>
      <c r="F133" s="35"/>
      <c r="G133" s="34"/>
      <c r="H133" s="35"/>
      <c r="I133" s="34"/>
      <c r="J133" s="36"/>
      <c r="K133" s="73"/>
      <c r="L133" s="73"/>
      <c r="M133" s="303"/>
      <c r="N133" s="35"/>
      <c r="O133" s="34"/>
      <c r="P133" s="35"/>
      <c r="Q133" s="361">
        <f t="shared" ref="Q133:AK133" si="30">Q132+Q125</f>
        <v>0</v>
      </c>
      <c r="R133" s="361">
        <f t="shared" si="30"/>
        <v>0</v>
      </c>
      <c r="S133" s="361">
        <f t="shared" si="30"/>
        <v>0</v>
      </c>
      <c r="T133" s="361">
        <f t="shared" si="30"/>
        <v>6614956012.3800001</v>
      </c>
      <c r="U133" s="361">
        <f t="shared" si="30"/>
        <v>0</v>
      </c>
      <c r="V133" s="361">
        <f t="shared" si="30"/>
        <v>0</v>
      </c>
      <c r="W133" s="361">
        <f t="shared" si="30"/>
        <v>0</v>
      </c>
      <c r="X133" s="361">
        <f t="shared" si="30"/>
        <v>0</v>
      </c>
      <c r="Y133" s="361">
        <f t="shared" si="30"/>
        <v>0</v>
      </c>
      <c r="Z133" s="361">
        <f t="shared" si="30"/>
        <v>0</v>
      </c>
      <c r="AA133" s="361">
        <f t="shared" si="30"/>
        <v>0</v>
      </c>
      <c r="AB133" s="361">
        <f t="shared" si="30"/>
        <v>0</v>
      </c>
      <c r="AC133" s="361">
        <f t="shared" si="30"/>
        <v>0</v>
      </c>
      <c r="AD133" s="361">
        <f t="shared" si="30"/>
        <v>0</v>
      </c>
      <c r="AE133" s="361">
        <f t="shared" si="30"/>
        <v>0</v>
      </c>
      <c r="AF133" s="361">
        <f t="shared" si="30"/>
        <v>290000000</v>
      </c>
      <c r="AG133" s="361">
        <f t="shared" si="30"/>
        <v>0</v>
      </c>
      <c r="AH133" s="361">
        <f t="shared" si="30"/>
        <v>0</v>
      </c>
      <c r="AI133" s="361">
        <f t="shared" si="30"/>
        <v>0</v>
      </c>
      <c r="AJ133" s="361">
        <f t="shared" si="30"/>
        <v>0</v>
      </c>
      <c r="AK133" s="361">
        <f t="shared" si="30"/>
        <v>6904956012.3800001</v>
      </c>
    </row>
    <row r="134" spans="1:37" ht="30" customHeight="1" x14ac:dyDescent="0.2">
      <c r="A134" s="16"/>
      <c r="B134" s="665"/>
      <c r="C134" s="116"/>
      <c r="D134" s="44"/>
      <c r="E134" s="116"/>
      <c r="F134" s="116"/>
      <c r="G134" s="44"/>
      <c r="H134" s="116"/>
      <c r="I134" s="44"/>
      <c r="J134" s="45"/>
      <c r="K134" s="55"/>
      <c r="L134" s="134"/>
      <c r="M134" s="585"/>
      <c r="N134" s="345"/>
      <c r="O134" s="74"/>
      <c r="P134" s="116"/>
      <c r="Q134" s="350"/>
      <c r="R134" s="351"/>
      <c r="S134" s="350"/>
      <c r="T134" s="350"/>
      <c r="U134" s="350"/>
      <c r="V134" s="350"/>
      <c r="W134" s="350"/>
      <c r="X134" s="350"/>
      <c r="Y134" s="350"/>
      <c r="Z134" s="350"/>
      <c r="AA134" s="350"/>
      <c r="AB134" s="351"/>
      <c r="AC134" s="351"/>
      <c r="AD134" s="350"/>
      <c r="AE134" s="350"/>
      <c r="AF134" s="352"/>
      <c r="AG134" s="353"/>
      <c r="AH134" s="350"/>
      <c r="AI134" s="350"/>
      <c r="AJ134" s="351"/>
      <c r="AK134" s="350"/>
    </row>
    <row r="135" spans="1:37" ht="30" customHeight="1" x14ac:dyDescent="0.2">
      <c r="A135" s="16"/>
      <c r="B135" s="118">
        <v>24</v>
      </c>
      <c r="C135" s="11" t="s">
        <v>181</v>
      </c>
      <c r="D135" s="12"/>
      <c r="E135" s="12"/>
      <c r="F135" s="12"/>
      <c r="G135" s="12"/>
      <c r="H135" s="13"/>
      <c r="I135" s="12"/>
      <c r="J135" s="12"/>
      <c r="K135" s="63"/>
      <c r="L135" s="63"/>
      <c r="M135" s="579"/>
      <c r="N135" s="13"/>
      <c r="O135" s="12"/>
      <c r="P135" s="12"/>
      <c r="Q135" s="357"/>
      <c r="R135" s="357"/>
      <c r="S135" s="357"/>
      <c r="T135" s="357"/>
      <c r="U135" s="357"/>
      <c r="V135" s="357"/>
      <c r="W135" s="357"/>
      <c r="X135" s="357"/>
      <c r="Y135" s="357"/>
      <c r="Z135" s="357"/>
      <c r="AA135" s="357"/>
      <c r="AB135" s="357"/>
      <c r="AC135" s="357"/>
      <c r="AD135" s="357"/>
      <c r="AE135" s="357"/>
      <c r="AF135" s="358"/>
      <c r="AG135" s="357"/>
      <c r="AH135" s="357"/>
      <c r="AI135" s="357"/>
      <c r="AJ135" s="357"/>
      <c r="AK135" s="362"/>
    </row>
    <row r="136" spans="1:37" ht="30" customHeight="1" x14ac:dyDescent="0.2">
      <c r="A136" s="16"/>
      <c r="B136" s="17"/>
      <c r="C136" s="648"/>
      <c r="D136" s="464"/>
      <c r="E136" s="464"/>
      <c r="F136" s="464"/>
      <c r="G136" s="165">
        <v>78</v>
      </c>
      <c r="H136" s="78" t="s">
        <v>182</v>
      </c>
      <c r="I136" s="78"/>
      <c r="J136" s="78"/>
      <c r="K136" s="79"/>
      <c r="L136" s="79"/>
      <c r="M136" s="582"/>
      <c r="N136" s="336"/>
      <c r="O136" s="78"/>
      <c r="P136" s="78"/>
      <c r="Q136" s="363"/>
      <c r="R136" s="363"/>
      <c r="S136" s="363"/>
      <c r="T136" s="363"/>
      <c r="U136" s="363"/>
      <c r="V136" s="363"/>
      <c r="W136" s="363"/>
      <c r="X136" s="363"/>
      <c r="Y136" s="363"/>
      <c r="Z136" s="363"/>
      <c r="AA136" s="363"/>
      <c r="AB136" s="363"/>
      <c r="AC136" s="363"/>
      <c r="AD136" s="363"/>
      <c r="AE136" s="363"/>
      <c r="AF136" s="364"/>
      <c r="AG136" s="363"/>
      <c r="AH136" s="363"/>
      <c r="AI136" s="363"/>
      <c r="AJ136" s="363"/>
      <c r="AK136" s="365"/>
    </row>
    <row r="137" spans="1:37" ht="68.25" customHeight="1" x14ac:dyDescent="0.2">
      <c r="A137" s="16"/>
      <c r="B137" s="23"/>
      <c r="C137" s="732">
        <v>13</v>
      </c>
      <c r="D137" s="735" t="s">
        <v>183</v>
      </c>
      <c r="E137" s="732" t="s">
        <v>184</v>
      </c>
      <c r="F137" s="732" t="s">
        <v>185</v>
      </c>
      <c r="G137" s="17"/>
      <c r="H137" s="673">
        <v>226</v>
      </c>
      <c r="I137" s="665" t="s">
        <v>186</v>
      </c>
      <c r="J137" s="18">
        <v>12</v>
      </c>
      <c r="K137" s="19">
        <v>12</v>
      </c>
      <c r="L137" s="743">
        <v>2017003630018</v>
      </c>
      <c r="M137" s="737" t="s">
        <v>187</v>
      </c>
      <c r="N137" s="731" t="s">
        <v>188</v>
      </c>
      <c r="O137" s="734" t="s">
        <v>189</v>
      </c>
      <c r="P137" s="132" t="s">
        <v>41</v>
      </c>
      <c r="Q137" s="346">
        <v>0</v>
      </c>
      <c r="R137" s="346">
        <v>0</v>
      </c>
      <c r="S137" s="346">
        <v>0</v>
      </c>
      <c r="T137" s="346">
        <v>0</v>
      </c>
      <c r="U137" s="346">
        <v>0</v>
      </c>
      <c r="V137" s="346">
        <v>0</v>
      </c>
      <c r="W137" s="346">
        <v>0</v>
      </c>
      <c r="X137" s="346"/>
      <c r="Y137" s="346"/>
      <c r="Z137" s="346">
        <v>0</v>
      </c>
      <c r="AA137" s="346">
        <v>0</v>
      </c>
      <c r="AB137" s="346"/>
      <c r="AC137" s="346"/>
      <c r="AD137" s="346">
        <v>0</v>
      </c>
      <c r="AE137" s="346">
        <v>0</v>
      </c>
      <c r="AF137" s="347">
        <f>170000000+40000000</f>
        <v>210000000</v>
      </c>
      <c r="AG137" s="347"/>
      <c r="AH137" s="346">
        <v>0</v>
      </c>
      <c r="AI137" s="348"/>
      <c r="AJ137" s="348">
        <v>0</v>
      </c>
      <c r="AK137" s="346">
        <f>Q137+R137+S137+T137+U137+V137+W137+X137+Y137+Z137+AA137+AB137+AC137+AD137+AE137+AF137+AG137+AH137+AI137+AJ137</f>
        <v>210000000</v>
      </c>
    </row>
    <row r="138" spans="1:37" ht="68.25" customHeight="1" x14ac:dyDescent="0.2">
      <c r="A138" s="16"/>
      <c r="B138" s="23"/>
      <c r="C138" s="732"/>
      <c r="D138" s="735"/>
      <c r="E138" s="732"/>
      <c r="F138" s="732"/>
      <c r="G138" s="23"/>
      <c r="H138" s="673">
        <v>227</v>
      </c>
      <c r="I138" s="665" t="s">
        <v>190</v>
      </c>
      <c r="J138" s="18">
        <v>12</v>
      </c>
      <c r="K138" s="19">
        <v>12</v>
      </c>
      <c r="L138" s="744"/>
      <c r="M138" s="738"/>
      <c r="N138" s="732"/>
      <c r="O138" s="735"/>
      <c r="P138" s="132" t="s">
        <v>41</v>
      </c>
      <c r="Q138" s="346">
        <v>0</v>
      </c>
      <c r="R138" s="346">
        <v>0</v>
      </c>
      <c r="S138" s="346">
        <v>0</v>
      </c>
      <c r="T138" s="346">
        <v>0</v>
      </c>
      <c r="U138" s="346">
        <v>0</v>
      </c>
      <c r="V138" s="346">
        <v>0</v>
      </c>
      <c r="W138" s="346">
        <v>0</v>
      </c>
      <c r="X138" s="346"/>
      <c r="Y138" s="346"/>
      <c r="Z138" s="346">
        <v>0</v>
      </c>
      <c r="AA138" s="346">
        <v>0</v>
      </c>
      <c r="AB138" s="346"/>
      <c r="AC138" s="346"/>
      <c r="AD138" s="346">
        <v>0</v>
      </c>
      <c r="AE138" s="346">
        <v>0</v>
      </c>
      <c r="AF138" s="347">
        <f>140000000+50000000</f>
        <v>190000000</v>
      </c>
      <c r="AG138" s="347"/>
      <c r="AH138" s="346">
        <v>0</v>
      </c>
      <c r="AI138" s="348"/>
      <c r="AJ138" s="348">
        <v>0</v>
      </c>
      <c r="AK138" s="346">
        <f>Q138+R138+S138+T138+U138+V138+W138+X138+Y138+Z138+AA138+AB138+AC138+AD138+AE138+AF138+AG138+AH138+AI138+AJ138</f>
        <v>190000000</v>
      </c>
    </row>
    <row r="139" spans="1:37" ht="68.25" customHeight="1" x14ac:dyDescent="0.2">
      <c r="A139" s="16"/>
      <c r="B139" s="23"/>
      <c r="C139" s="732"/>
      <c r="D139" s="735"/>
      <c r="E139" s="732"/>
      <c r="F139" s="732"/>
      <c r="G139" s="23"/>
      <c r="H139" s="673">
        <v>228</v>
      </c>
      <c r="I139" s="665" t="s">
        <v>191</v>
      </c>
      <c r="J139" s="18">
        <v>2</v>
      </c>
      <c r="K139" s="19">
        <v>2</v>
      </c>
      <c r="L139" s="744"/>
      <c r="M139" s="738"/>
      <c r="N139" s="732"/>
      <c r="O139" s="735"/>
      <c r="P139" s="132" t="s">
        <v>41</v>
      </c>
      <c r="Q139" s="346">
        <v>0</v>
      </c>
      <c r="R139" s="346">
        <v>0</v>
      </c>
      <c r="S139" s="346">
        <v>0</v>
      </c>
      <c r="T139" s="346">
        <v>0</v>
      </c>
      <c r="U139" s="346">
        <v>0</v>
      </c>
      <c r="V139" s="346">
        <v>0</v>
      </c>
      <c r="W139" s="346">
        <v>0</v>
      </c>
      <c r="X139" s="346"/>
      <c r="Y139" s="346"/>
      <c r="Z139" s="346">
        <v>0</v>
      </c>
      <c r="AA139" s="346">
        <v>0</v>
      </c>
      <c r="AB139" s="346"/>
      <c r="AC139" s="346"/>
      <c r="AD139" s="346">
        <v>0</v>
      </c>
      <c r="AE139" s="346">
        <v>0</v>
      </c>
      <c r="AF139" s="347">
        <f>30000000+5000000</f>
        <v>35000000</v>
      </c>
      <c r="AG139" s="347"/>
      <c r="AH139" s="346">
        <v>0</v>
      </c>
      <c r="AI139" s="348"/>
      <c r="AJ139" s="348">
        <v>0</v>
      </c>
      <c r="AK139" s="346">
        <f>Q139+R139+S139+T139+U139+V139+W139+X139+Y139+Z139+AA139+AB139+AC139+AD139+AE139+AF139+AG139+AH139+AI139+AJ139</f>
        <v>35000000</v>
      </c>
    </row>
    <row r="140" spans="1:37" ht="68.25" customHeight="1" x14ac:dyDescent="0.2">
      <c r="A140" s="16"/>
      <c r="B140" s="23"/>
      <c r="C140" s="732"/>
      <c r="D140" s="735"/>
      <c r="E140" s="732"/>
      <c r="F140" s="732"/>
      <c r="G140" s="23"/>
      <c r="H140" s="673">
        <v>229</v>
      </c>
      <c r="I140" s="665" t="s">
        <v>192</v>
      </c>
      <c r="J140" s="138">
        <v>13</v>
      </c>
      <c r="K140" s="19">
        <v>13</v>
      </c>
      <c r="L140" s="744"/>
      <c r="M140" s="738"/>
      <c r="N140" s="732"/>
      <c r="O140" s="735"/>
      <c r="P140" s="132" t="s">
        <v>41</v>
      </c>
      <c r="Q140" s="346">
        <v>0</v>
      </c>
      <c r="R140" s="346">
        <v>0</v>
      </c>
      <c r="S140" s="346">
        <v>0</v>
      </c>
      <c r="T140" s="346">
        <v>0</v>
      </c>
      <c r="U140" s="346">
        <v>0</v>
      </c>
      <c r="V140" s="346">
        <v>0</v>
      </c>
      <c r="W140" s="346">
        <v>0</v>
      </c>
      <c r="X140" s="346"/>
      <c r="Y140" s="346"/>
      <c r="Z140" s="346">
        <v>0</v>
      </c>
      <c r="AA140" s="346">
        <v>0</v>
      </c>
      <c r="AB140" s="346"/>
      <c r="AC140" s="346"/>
      <c r="AD140" s="346">
        <v>0</v>
      </c>
      <c r="AE140" s="346">
        <v>0</v>
      </c>
      <c r="AF140" s="347">
        <f>35000000+2500000</f>
        <v>37500000</v>
      </c>
      <c r="AG140" s="347"/>
      <c r="AH140" s="346">
        <v>0</v>
      </c>
      <c r="AI140" s="348"/>
      <c r="AJ140" s="348">
        <v>0</v>
      </c>
      <c r="AK140" s="346">
        <f>Q140+R140+S140+T140+U140+V140+W140+X140+Y140+Z140+AA140+AB140+AC140+AD140+AE140+AF140+AG140+AH140+AI140+AJ140</f>
        <v>37500000</v>
      </c>
    </row>
    <row r="141" spans="1:37" ht="68.25" customHeight="1" x14ac:dyDescent="0.2">
      <c r="A141" s="16"/>
      <c r="B141" s="23"/>
      <c r="C141" s="732"/>
      <c r="D141" s="735"/>
      <c r="E141" s="732"/>
      <c r="F141" s="732"/>
      <c r="G141" s="23"/>
      <c r="H141" s="673">
        <v>230</v>
      </c>
      <c r="I141" s="665" t="s">
        <v>193</v>
      </c>
      <c r="J141" s="18">
        <v>0</v>
      </c>
      <c r="K141" s="19">
        <v>1</v>
      </c>
      <c r="L141" s="745"/>
      <c r="M141" s="739"/>
      <c r="N141" s="733"/>
      <c r="O141" s="736"/>
      <c r="P141" s="132" t="s">
        <v>41</v>
      </c>
      <c r="Q141" s="346">
        <v>0</v>
      </c>
      <c r="R141" s="346">
        <v>0</v>
      </c>
      <c r="S141" s="346">
        <v>0</v>
      </c>
      <c r="T141" s="346">
        <v>0</v>
      </c>
      <c r="U141" s="346">
        <v>0</v>
      </c>
      <c r="V141" s="346">
        <v>0</v>
      </c>
      <c r="W141" s="346">
        <v>0</v>
      </c>
      <c r="X141" s="346"/>
      <c r="Y141" s="346"/>
      <c r="Z141" s="346">
        <v>0</v>
      </c>
      <c r="AA141" s="346">
        <v>0</v>
      </c>
      <c r="AB141" s="346"/>
      <c r="AC141" s="346"/>
      <c r="AD141" s="346">
        <v>0</v>
      </c>
      <c r="AE141" s="346">
        <v>0</v>
      </c>
      <c r="AF141" s="347">
        <f>24000000+2500000</f>
        <v>26500000</v>
      </c>
      <c r="AG141" s="347"/>
      <c r="AH141" s="346">
        <v>0</v>
      </c>
      <c r="AI141" s="348"/>
      <c r="AJ141" s="348">
        <v>0</v>
      </c>
      <c r="AK141" s="346">
        <f>Q141+R141+S141+T141+U141+V141+W141+X141+Y141+Z141+AA141+AB141+AC141+AD141+AE141+AF141+AG141+AH141+AI141+AJ141</f>
        <v>26500000</v>
      </c>
    </row>
    <row r="142" spans="1:37" ht="30" customHeight="1" x14ac:dyDescent="0.2">
      <c r="A142" s="16"/>
      <c r="B142" s="23"/>
      <c r="C142" s="649"/>
      <c r="D142" s="644"/>
      <c r="E142" s="649"/>
      <c r="F142" s="649"/>
      <c r="G142" s="30"/>
      <c r="H142" s="31"/>
      <c r="I142" s="30"/>
      <c r="J142" s="32"/>
      <c r="K142" s="139"/>
      <c r="L142" s="140"/>
      <c r="M142" s="586"/>
      <c r="N142" s="31"/>
      <c r="O142" s="30"/>
      <c r="P142" s="31"/>
      <c r="Q142" s="355">
        <f t="shared" ref="Q142:AK142" si="31">SUM(Q137:Q141)</f>
        <v>0</v>
      </c>
      <c r="R142" s="355">
        <f t="shared" si="31"/>
        <v>0</v>
      </c>
      <c r="S142" s="355">
        <f t="shared" si="31"/>
        <v>0</v>
      </c>
      <c r="T142" s="355">
        <f t="shared" si="31"/>
        <v>0</v>
      </c>
      <c r="U142" s="355">
        <f t="shared" si="31"/>
        <v>0</v>
      </c>
      <c r="V142" s="355">
        <f t="shared" si="31"/>
        <v>0</v>
      </c>
      <c r="W142" s="355">
        <f t="shared" si="31"/>
        <v>0</v>
      </c>
      <c r="X142" s="355">
        <f t="shared" si="31"/>
        <v>0</v>
      </c>
      <c r="Y142" s="355">
        <f t="shared" si="31"/>
        <v>0</v>
      </c>
      <c r="Z142" s="355">
        <f t="shared" si="31"/>
        <v>0</v>
      </c>
      <c r="AA142" s="355">
        <f t="shared" si="31"/>
        <v>0</v>
      </c>
      <c r="AB142" s="355">
        <f t="shared" si="31"/>
        <v>0</v>
      </c>
      <c r="AC142" s="355">
        <f t="shared" si="31"/>
        <v>0</v>
      </c>
      <c r="AD142" s="355">
        <f t="shared" si="31"/>
        <v>0</v>
      </c>
      <c r="AE142" s="355">
        <f t="shared" si="31"/>
        <v>0</v>
      </c>
      <c r="AF142" s="355">
        <f t="shared" si="31"/>
        <v>499000000</v>
      </c>
      <c r="AG142" s="355">
        <f t="shared" si="31"/>
        <v>0</v>
      </c>
      <c r="AH142" s="355">
        <f t="shared" si="31"/>
        <v>0</v>
      </c>
      <c r="AI142" s="355">
        <f t="shared" si="31"/>
        <v>0</v>
      </c>
      <c r="AJ142" s="355">
        <f t="shared" si="31"/>
        <v>0</v>
      </c>
      <c r="AK142" s="355">
        <f t="shared" si="31"/>
        <v>499000000</v>
      </c>
    </row>
    <row r="143" spans="1:37" ht="30" customHeight="1" x14ac:dyDescent="0.2">
      <c r="A143" s="16"/>
      <c r="B143" s="23"/>
      <c r="C143" s="116"/>
      <c r="D143" s="44"/>
      <c r="E143" s="116"/>
      <c r="F143" s="116"/>
      <c r="G143" s="44"/>
      <c r="H143" s="116"/>
      <c r="I143" s="44"/>
      <c r="J143" s="45"/>
      <c r="K143" s="141"/>
      <c r="L143" s="142"/>
      <c r="M143" s="587"/>
      <c r="N143" s="345"/>
      <c r="O143" s="74"/>
      <c r="P143" s="116"/>
      <c r="Q143" s="350"/>
      <c r="R143" s="351"/>
      <c r="S143" s="350"/>
      <c r="T143" s="350"/>
      <c r="U143" s="350"/>
      <c r="V143" s="350"/>
      <c r="W143" s="350"/>
      <c r="X143" s="350"/>
      <c r="Y143" s="350"/>
      <c r="Z143" s="350"/>
      <c r="AA143" s="350"/>
      <c r="AB143" s="351"/>
      <c r="AC143" s="351"/>
      <c r="AD143" s="350"/>
      <c r="AE143" s="350"/>
      <c r="AF143" s="386"/>
      <c r="AG143" s="385"/>
      <c r="AH143" s="350"/>
      <c r="AI143" s="350"/>
      <c r="AJ143" s="351"/>
      <c r="AK143" s="350"/>
    </row>
    <row r="144" spans="1:37" ht="30" customHeight="1" x14ac:dyDescent="0.2">
      <c r="A144" s="16"/>
      <c r="B144" s="23"/>
      <c r="C144" s="648"/>
      <c r="D144" s="642"/>
      <c r="E144" s="648"/>
      <c r="F144" s="648"/>
      <c r="G144" s="108">
        <v>79</v>
      </c>
      <c r="H144" s="135" t="s">
        <v>194</v>
      </c>
      <c r="I144" s="52"/>
      <c r="J144" s="52"/>
      <c r="K144" s="64"/>
      <c r="L144" s="64"/>
      <c r="M144" s="581"/>
      <c r="N144" s="136"/>
      <c r="O144" s="52"/>
      <c r="P144" s="52"/>
      <c r="Q144" s="387"/>
      <c r="R144" s="387"/>
      <c r="S144" s="387"/>
      <c r="T144" s="387"/>
      <c r="U144" s="387"/>
      <c r="V144" s="387"/>
      <c r="W144" s="387"/>
      <c r="X144" s="387"/>
      <c r="Y144" s="387"/>
      <c r="Z144" s="387"/>
      <c r="AA144" s="387"/>
      <c r="AB144" s="387"/>
      <c r="AC144" s="387"/>
      <c r="AD144" s="387"/>
      <c r="AE144" s="387"/>
      <c r="AF144" s="388"/>
      <c r="AG144" s="387"/>
      <c r="AH144" s="387"/>
      <c r="AI144" s="387"/>
      <c r="AJ144" s="387"/>
      <c r="AK144" s="233"/>
    </row>
    <row r="145" spans="1:37" ht="78" customHeight="1" x14ac:dyDescent="0.2">
      <c r="A145" s="16"/>
      <c r="B145" s="23"/>
      <c r="C145" s="732">
        <v>13</v>
      </c>
      <c r="D145" s="735" t="s">
        <v>183</v>
      </c>
      <c r="E145" s="732" t="s">
        <v>184</v>
      </c>
      <c r="F145" s="732" t="s">
        <v>185</v>
      </c>
      <c r="G145" s="17"/>
      <c r="H145" s="673">
        <v>231</v>
      </c>
      <c r="I145" s="665" t="s">
        <v>195</v>
      </c>
      <c r="J145" s="18">
        <v>1</v>
      </c>
      <c r="K145" s="19">
        <v>1</v>
      </c>
      <c r="L145" s="743">
        <v>2017003630012</v>
      </c>
      <c r="M145" s="737" t="s">
        <v>187</v>
      </c>
      <c r="N145" s="731" t="s">
        <v>196</v>
      </c>
      <c r="O145" s="734" t="s">
        <v>869</v>
      </c>
      <c r="P145" s="673" t="s">
        <v>41</v>
      </c>
      <c r="Q145" s="346">
        <v>0</v>
      </c>
      <c r="R145" s="346">
        <v>0</v>
      </c>
      <c r="S145" s="346">
        <v>0</v>
      </c>
      <c r="T145" s="346">
        <v>0</v>
      </c>
      <c r="U145" s="346">
        <v>0</v>
      </c>
      <c r="V145" s="346">
        <v>0</v>
      </c>
      <c r="W145" s="346">
        <v>0</v>
      </c>
      <c r="X145" s="346"/>
      <c r="Y145" s="346"/>
      <c r="Z145" s="346">
        <v>0</v>
      </c>
      <c r="AA145" s="346">
        <v>0</v>
      </c>
      <c r="AB145" s="346"/>
      <c r="AC145" s="346"/>
      <c r="AD145" s="346">
        <v>0</v>
      </c>
      <c r="AE145" s="346">
        <v>0</v>
      </c>
      <c r="AF145" s="347">
        <f>2250000+5000000</f>
        <v>7250000</v>
      </c>
      <c r="AG145" s="347"/>
      <c r="AH145" s="346">
        <v>0</v>
      </c>
      <c r="AI145" s="348"/>
      <c r="AJ145" s="348">
        <v>0</v>
      </c>
      <c r="AK145" s="346">
        <f>Q145+R145+S145+T145+U145+V145+W145+X145+Y145+Z145+AA145+AB145+AC145+AD145+AE145+AF145+AG145+AH145+AI145+AJ145</f>
        <v>7250000</v>
      </c>
    </row>
    <row r="146" spans="1:37" ht="72.75" customHeight="1" x14ac:dyDescent="0.2">
      <c r="A146" s="16"/>
      <c r="B146" s="23"/>
      <c r="C146" s="732"/>
      <c r="D146" s="735"/>
      <c r="E146" s="732"/>
      <c r="F146" s="732"/>
      <c r="G146" s="23"/>
      <c r="H146" s="673">
        <v>232</v>
      </c>
      <c r="I146" s="665" t="s">
        <v>197</v>
      </c>
      <c r="J146" s="18">
        <v>12</v>
      </c>
      <c r="K146" s="19">
        <v>12</v>
      </c>
      <c r="L146" s="744"/>
      <c r="M146" s="738"/>
      <c r="N146" s="732"/>
      <c r="O146" s="735"/>
      <c r="P146" s="673" t="s">
        <v>41</v>
      </c>
      <c r="Q146" s="346">
        <v>0</v>
      </c>
      <c r="R146" s="346">
        <v>0</v>
      </c>
      <c r="S146" s="346">
        <v>0</v>
      </c>
      <c r="T146" s="346">
        <v>0</v>
      </c>
      <c r="U146" s="346">
        <v>0</v>
      </c>
      <c r="V146" s="346">
        <v>0</v>
      </c>
      <c r="W146" s="346">
        <v>0</v>
      </c>
      <c r="X146" s="346"/>
      <c r="Y146" s="346"/>
      <c r="Z146" s="346">
        <v>0</v>
      </c>
      <c r="AA146" s="346">
        <v>0</v>
      </c>
      <c r="AB146" s="346"/>
      <c r="AC146" s="346"/>
      <c r="AD146" s="346">
        <v>0</v>
      </c>
      <c r="AE146" s="346">
        <v>0</v>
      </c>
      <c r="AF146" s="347">
        <f>13800000+10000000</f>
        <v>23800000</v>
      </c>
      <c r="AG146" s="347"/>
      <c r="AH146" s="346">
        <v>0</v>
      </c>
      <c r="AI146" s="348"/>
      <c r="AJ146" s="348">
        <v>0</v>
      </c>
      <c r="AK146" s="346">
        <f>Q146+R146+S146+T146+U146+V146+W146+X146+Y146+Z146+AA146+AB146+AC146+AD146+AE146+AF146+AG146+AH146+AI146+AJ146</f>
        <v>23800000</v>
      </c>
    </row>
    <row r="147" spans="1:37" ht="46.5" customHeight="1" x14ac:dyDescent="0.2">
      <c r="A147" s="16"/>
      <c r="B147" s="23"/>
      <c r="C147" s="732"/>
      <c r="D147" s="735"/>
      <c r="E147" s="732"/>
      <c r="F147" s="732"/>
      <c r="G147" s="23"/>
      <c r="H147" s="673">
        <v>233</v>
      </c>
      <c r="I147" s="665" t="s">
        <v>198</v>
      </c>
      <c r="J147" s="18">
        <v>1</v>
      </c>
      <c r="K147" s="19">
        <v>1</v>
      </c>
      <c r="L147" s="745"/>
      <c r="M147" s="739"/>
      <c r="N147" s="733"/>
      <c r="O147" s="736"/>
      <c r="P147" s="673" t="s">
        <v>41</v>
      </c>
      <c r="Q147" s="346">
        <v>0</v>
      </c>
      <c r="R147" s="346">
        <v>0</v>
      </c>
      <c r="S147" s="346">
        <v>0</v>
      </c>
      <c r="T147" s="346">
        <v>0</v>
      </c>
      <c r="U147" s="346">
        <v>0</v>
      </c>
      <c r="V147" s="346">
        <v>0</v>
      </c>
      <c r="W147" s="346">
        <v>0</v>
      </c>
      <c r="X147" s="346"/>
      <c r="Y147" s="346"/>
      <c r="Z147" s="346">
        <v>0</v>
      </c>
      <c r="AA147" s="346">
        <v>0</v>
      </c>
      <c r="AB147" s="346"/>
      <c r="AC147" s="346"/>
      <c r="AD147" s="346">
        <v>0</v>
      </c>
      <c r="AE147" s="346">
        <v>0</v>
      </c>
      <c r="AF147" s="347">
        <f>10950000+10000000</f>
        <v>20950000</v>
      </c>
      <c r="AG147" s="347"/>
      <c r="AH147" s="346">
        <v>0</v>
      </c>
      <c r="AI147" s="348"/>
      <c r="AJ147" s="348">
        <v>0</v>
      </c>
      <c r="AK147" s="346">
        <f>Q147+R147+S147+T147+U147+V147+W147+X147+Y147+Z147+AA147+AB147+AC147+AD147+AE147+AF147+AG147+AH147+AI147+AJ147</f>
        <v>20950000</v>
      </c>
    </row>
    <row r="148" spans="1:37" ht="30" customHeight="1" x14ac:dyDescent="0.2">
      <c r="A148" s="16"/>
      <c r="B148" s="23"/>
      <c r="C148" s="649"/>
      <c r="D148" s="644"/>
      <c r="E148" s="649"/>
      <c r="F148" s="649"/>
      <c r="G148" s="30"/>
      <c r="H148" s="31"/>
      <c r="I148" s="30"/>
      <c r="J148" s="32"/>
      <c r="K148" s="56"/>
      <c r="L148" s="56"/>
      <c r="M148" s="151"/>
      <c r="N148" s="31"/>
      <c r="O148" s="30"/>
      <c r="P148" s="31"/>
      <c r="Q148" s="355">
        <f t="shared" ref="Q148:AJ148" si="32">SUM(Q145:Q147)</f>
        <v>0</v>
      </c>
      <c r="R148" s="355">
        <f t="shared" si="32"/>
        <v>0</v>
      </c>
      <c r="S148" s="355">
        <f t="shared" si="32"/>
        <v>0</v>
      </c>
      <c r="T148" s="355">
        <f t="shared" si="32"/>
        <v>0</v>
      </c>
      <c r="U148" s="355">
        <f t="shared" si="32"/>
        <v>0</v>
      </c>
      <c r="V148" s="355">
        <f t="shared" si="32"/>
        <v>0</v>
      </c>
      <c r="W148" s="355">
        <f t="shared" si="32"/>
        <v>0</v>
      </c>
      <c r="X148" s="355">
        <f t="shared" si="32"/>
        <v>0</v>
      </c>
      <c r="Y148" s="355">
        <f t="shared" si="32"/>
        <v>0</v>
      </c>
      <c r="Z148" s="355">
        <f t="shared" si="32"/>
        <v>0</v>
      </c>
      <c r="AA148" s="355">
        <f t="shared" si="32"/>
        <v>0</v>
      </c>
      <c r="AB148" s="355">
        <f t="shared" si="32"/>
        <v>0</v>
      </c>
      <c r="AC148" s="355">
        <f t="shared" si="32"/>
        <v>0</v>
      </c>
      <c r="AD148" s="355">
        <f t="shared" si="32"/>
        <v>0</v>
      </c>
      <c r="AE148" s="355">
        <f t="shared" si="32"/>
        <v>0</v>
      </c>
      <c r="AF148" s="355">
        <f t="shared" si="32"/>
        <v>52000000</v>
      </c>
      <c r="AG148" s="355">
        <f t="shared" si="32"/>
        <v>0</v>
      </c>
      <c r="AH148" s="355">
        <f t="shared" si="32"/>
        <v>0</v>
      </c>
      <c r="AI148" s="355">
        <f t="shared" si="32"/>
        <v>0</v>
      </c>
      <c r="AJ148" s="355">
        <f t="shared" si="32"/>
        <v>0</v>
      </c>
      <c r="AK148" s="355">
        <f>SUM(AK145:AK147)</f>
        <v>52000000</v>
      </c>
    </row>
    <row r="149" spans="1:37" ht="30" customHeight="1" x14ac:dyDescent="0.2">
      <c r="A149" s="16"/>
      <c r="B149" s="23"/>
      <c r="C149" s="116"/>
      <c r="D149" s="44"/>
      <c r="E149" s="116"/>
      <c r="F149" s="116"/>
      <c r="G149" s="44"/>
      <c r="H149" s="116"/>
      <c r="I149" s="44"/>
      <c r="J149" s="45"/>
      <c r="K149" s="55"/>
      <c r="L149" s="134"/>
      <c r="M149" s="585"/>
      <c r="N149" s="345"/>
      <c r="O149" s="74"/>
      <c r="P149" s="116"/>
      <c r="Q149" s="350"/>
      <c r="R149" s="351"/>
      <c r="S149" s="350"/>
      <c r="T149" s="350"/>
      <c r="U149" s="350"/>
      <c r="V149" s="350"/>
      <c r="W149" s="350"/>
      <c r="X149" s="350"/>
      <c r="Y149" s="350"/>
      <c r="Z149" s="350"/>
      <c r="AA149" s="350"/>
      <c r="AB149" s="351"/>
      <c r="AC149" s="351"/>
      <c r="AD149" s="350"/>
      <c r="AE149" s="350"/>
      <c r="AF149" s="386"/>
      <c r="AG149" s="389"/>
      <c r="AH149" s="350"/>
      <c r="AI149" s="350"/>
      <c r="AJ149" s="351"/>
      <c r="AK149" s="354"/>
    </row>
    <row r="150" spans="1:37" ht="30" customHeight="1" x14ac:dyDescent="0.2">
      <c r="A150" s="16"/>
      <c r="B150" s="23"/>
      <c r="C150" s="648"/>
      <c r="D150" s="642"/>
      <c r="E150" s="648"/>
      <c r="F150" s="648"/>
      <c r="G150" s="108">
        <v>80</v>
      </c>
      <c r="H150" s="135" t="s">
        <v>199</v>
      </c>
      <c r="I150" s="52"/>
      <c r="J150" s="52"/>
      <c r="K150" s="64"/>
      <c r="L150" s="64"/>
      <c r="M150" s="581"/>
      <c r="N150" s="136"/>
      <c r="O150" s="52"/>
      <c r="P150" s="52"/>
      <c r="Q150" s="231"/>
      <c r="R150" s="231"/>
      <c r="S150" s="231"/>
      <c r="T150" s="231"/>
      <c r="U150" s="231"/>
      <c r="V150" s="231"/>
      <c r="W150" s="231"/>
      <c r="X150" s="231"/>
      <c r="Y150" s="231"/>
      <c r="Z150" s="231"/>
      <c r="AA150" s="231"/>
      <c r="AB150" s="231"/>
      <c r="AC150" s="231"/>
      <c r="AD150" s="231"/>
      <c r="AE150" s="231"/>
      <c r="AF150" s="359"/>
      <c r="AG150" s="231"/>
      <c r="AH150" s="231"/>
      <c r="AI150" s="231"/>
      <c r="AJ150" s="231"/>
      <c r="AK150" s="233"/>
    </row>
    <row r="151" spans="1:37" ht="83.25" customHeight="1" x14ac:dyDescent="0.2">
      <c r="A151" s="16"/>
      <c r="B151" s="23"/>
      <c r="C151" s="732">
        <v>13</v>
      </c>
      <c r="D151" s="735" t="s">
        <v>183</v>
      </c>
      <c r="E151" s="732">
        <v>71.040000000000006</v>
      </c>
      <c r="F151" s="732">
        <v>88.17</v>
      </c>
      <c r="G151" s="17"/>
      <c r="H151" s="673">
        <v>234</v>
      </c>
      <c r="I151" s="665" t="s">
        <v>200</v>
      </c>
      <c r="J151" s="18" t="s">
        <v>32</v>
      </c>
      <c r="K151" s="28">
        <v>2</v>
      </c>
      <c r="L151" s="743">
        <v>2017003630013</v>
      </c>
      <c r="M151" s="737" t="s">
        <v>187</v>
      </c>
      <c r="N151" s="731" t="s">
        <v>201</v>
      </c>
      <c r="O151" s="734" t="s">
        <v>202</v>
      </c>
      <c r="P151" s="673" t="s">
        <v>54</v>
      </c>
      <c r="Q151" s="346">
        <v>0</v>
      </c>
      <c r="R151" s="346">
        <v>0</v>
      </c>
      <c r="S151" s="346">
        <v>0</v>
      </c>
      <c r="T151" s="346">
        <v>0</v>
      </c>
      <c r="U151" s="346">
        <v>0</v>
      </c>
      <c r="V151" s="346">
        <v>0</v>
      </c>
      <c r="W151" s="346">
        <v>0</v>
      </c>
      <c r="X151" s="346"/>
      <c r="Y151" s="346"/>
      <c r="Z151" s="346">
        <v>0</v>
      </c>
      <c r="AA151" s="346">
        <v>0</v>
      </c>
      <c r="AB151" s="346"/>
      <c r="AC151" s="346"/>
      <c r="AD151" s="346">
        <v>0</v>
      </c>
      <c r="AE151" s="346">
        <v>0</v>
      </c>
      <c r="AF151" s="547">
        <f>10000000+14000000-11050000</f>
        <v>12950000</v>
      </c>
      <c r="AG151" s="347"/>
      <c r="AH151" s="346">
        <v>0</v>
      </c>
      <c r="AI151" s="348"/>
      <c r="AJ151" s="348">
        <v>0</v>
      </c>
      <c r="AK151" s="346">
        <f>Q151+R151+S151+T151+U151+V151+W151+X151+Y151+Z151+AA151+AB151+AC151+AD151+AE151+AF151+AG151+AH151+AI151+AJ151</f>
        <v>12950000</v>
      </c>
    </row>
    <row r="152" spans="1:37" ht="59.25" customHeight="1" x14ac:dyDescent="0.2">
      <c r="A152" s="16"/>
      <c r="B152" s="23"/>
      <c r="C152" s="732"/>
      <c r="D152" s="735"/>
      <c r="E152" s="732"/>
      <c r="F152" s="732"/>
      <c r="G152" s="23"/>
      <c r="H152" s="673">
        <v>235</v>
      </c>
      <c r="I152" s="665" t="s">
        <v>203</v>
      </c>
      <c r="J152" s="18" t="s">
        <v>32</v>
      </c>
      <c r="K152" s="26">
        <v>2</v>
      </c>
      <c r="L152" s="745"/>
      <c r="M152" s="739"/>
      <c r="N152" s="733"/>
      <c r="O152" s="736"/>
      <c r="P152" s="673" t="s">
        <v>54</v>
      </c>
      <c r="Q152" s="346">
        <v>0</v>
      </c>
      <c r="R152" s="346">
        <v>0</v>
      </c>
      <c r="S152" s="346">
        <v>0</v>
      </c>
      <c r="T152" s="346">
        <v>0</v>
      </c>
      <c r="U152" s="346">
        <v>0</v>
      </c>
      <c r="V152" s="346">
        <v>0</v>
      </c>
      <c r="W152" s="346">
        <v>0</v>
      </c>
      <c r="X152" s="346"/>
      <c r="Y152" s="346"/>
      <c r="Z152" s="346">
        <v>0</v>
      </c>
      <c r="AA152" s="346">
        <v>0</v>
      </c>
      <c r="AB152" s="346"/>
      <c r="AC152" s="346"/>
      <c r="AD152" s="346">
        <v>0</v>
      </c>
      <c r="AE152" s="346">
        <v>0</v>
      </c>
      <c r="AF152" s="547">
        <f>18000000+21000000+11050000</f>
        <v>50050000</v>
      </c>
      <c r="AG152" s="347"/>
      <c r="AH152" s="346">
        <v>0</v>
      </c>
      <c r="AI152" s="348"/>
      <c r="AJ152" s="348">
        <v>0</v>
      </c>
      <c r="AK152" s="346">
        <f>Q152+R152+S152+T152+U152+V152+W152+X152+Y152+Z152+AA152+AB152+AC152+AD152+AE152+AF152+AG152+AH152+AI152+AJ152</f>
        <v>50050000</v>
      </c>
    </row>
    <row r="153" spans="1:37" ht="30" customHeight="1" x14ac:dyDescent="0.2">
      <c r="A153" s="16"/>
      <c r="B153" s="65"/>
      <c r="C153" s="649"/>
      <c r="D153" s="644"/>
      <c r="E153" s="649"/>
      <c r="F153" s="649"/>
      <c r="G153" s="30"/>
      <c r="H153" s="31"/>
      <c r="I153" s="30"/>
      <c r="J153" s="32"/>
      <c r="K153" s="56"/>
      <c r="L153" s="56"/>
      <c r="M153" s="151"/>
      <c r="N153" s="31"/>
      <c r="O153" s="30"/>
      <c r="P153" s="31"/>
      <c r="Q153" s="355">
        <f t="shared" ref="Q153:AJ153" si="33">SUM(Q151:Q152)</f>
        <v>0</v>
      </c>
      <c r="R153" s="355">
        <f t="shared" si="33"/>
        <v>0</v>
      </c>
      <c r="S153" s="355">
        <f t="shared" si="33"/>
        <v>0</v>
      </c>
      <c r="T153" s="355">
        <f t="shared" si="33"/>
        <v>0</v>
      </c>
      <c r="U153" s="355">
        <f t="shared" si="33"/>
        <v>0</v>
      </c>
      <c r="V153" s="355">
        <f t="shared" si="33"/>
        <v>0</v>
      </c>
      <c r="W153" s="355">
        <f t="shared" si="33"/>
        <v>0</v>
      </c>
      <c r="X153" s="355">
        <f t="shared" si="33"/>
        <v>0</v>
      </c>
      <c r="Y153" s="355">
        <f t="shared" si="33"/>
        <v>0</v>
      </c>
      <c r="Z153" s="355">
        <f t="shared" si="33"/>
        <v>0</v>
      </c>
      <c r="AA153" s="355">
        <f t="shared" si="33"/>
        <v>0</v>
      </c>
      <c r="AB153" s="355">
        <f t="shared" si="33"/>
        <v>0</v>
      </c>
      <c r="AC153" s="355">
        <f t="shared" si="33"/>
        <v>0</v>
      </c>
      <c r="AD153" s="355">
        <f t="shared" si="33"/>
        <v>0</v>
      </c>
      <c r="AE153" s="355">
        <f t="shared" si="33"/>
        <v>0</v>
      </c>
      <c r="AF153" s="355">
        <f t="shared" si="33"/>
        <v>63000000</v>
      </c>
      <c r="AG153" s="355">
        <f t="shared" si="33"/>
        <v>0</v>
      </c>
      <c r="AH153" s="355">
        <f t="shared" si="33"/>
        <v>0</v>
      </c>
      <c r="AI153" s="355">
        <f t="shared" si="33"/>
        <v>0</v>
      </c>
      <c r="AJ153" s="355">
        <f t="shared" si="33"/>
        <v>0</v>
      </c>
      <c r="AK153" s="355">
        <f>SUM(AK151:AK152)</f>
        <v>63000000</v>
      </c>
    </row>
    <row r="154" spans="1:37" ht="30" customHeight="1" x14ac:dyDescent="0.2">
      <c r="A154" s="16"/>
      <c r="B154" s="34"/>
      <c r="C154" s="70"/>
      <c r="D154" s="34"/>
      <c r="E154" s="35"/>
      <c r="F154" s="35"/>
      <c r="G154" s="34"/>
      <c r="H154" s="35"/>
      <c r="I154" s="34"/>
      <c r="J154" s="36"/>
      <c r="K154" s="73"/>
      <c r="L154" s="73"/>
      <c r="M154" s="303"/>
      <c r="N154" s="35"/>
      <c r="O154" s="34"/>
      <c r="P154" s="35"/>
      <c r="Q154" s="361">
        <f t="shared" ref="Q154:AK154" si="34">Q153+Q148+Q142</f>
        <v>0</v>
      </c>
      <c r="R154" s="361">
        <f t="shared" si="34"/>
        <v>0</v>
      </c>
      <c r="S154" s="361">
        <f t="shared" si="34"/>
        <v>0</v>
      </c>
      <c r="T154" s="361">
        <f t="shared" si="34"/>
        <v>0</v>
      </c>
      <c r="U154" s="361">
        <f t="shared" si="34"/>
        <v>0</v>
      </c>
      <c r="V154" s="361">
        <f t="shared" si="34"/>
        <v>0</v>
      </c>
      <c r="W154" s="361">
        <f t="shared" si="34"/>
        <v>0</v>
      </c>
      <c r="X154" s="361">
        <f t="shared" si="34"/>
        <v>0</v>
      </c>
      <c r="Y154" s="361">
        <f t="shared" si="34"/>
        <v>0</v>
      </c>
      <c r="Z154" s="361">
        <f t="shared" si="34"/>
        <v>0</v>
      </c>
      <c r="AA154" s="361">
        <f t="shared" si="34"/>
        <v>0</v>
      </c>
      <c r="AB154" s="361">
        <f t="shared" si="34"/>
        <v>0</v>
      </c>
      <c r="AC154" s="361">
        <f t="shared" si="34"/>
        <v>0</v>
      </c>
      <c r="AD154" s="361">
        <f t="shared" si="34"/>
        <v>0</v>
      </c>
      <c r="AE154" s="361">
        <f t="shared" si="34"/>
        <v>0</v>
      </c>
      <c r="AF154" s="361">
        <f t="shared" si="34"/>
        <v>614000000</v>
      </c>
      <c r="AG154" s="361">
        <f t="shared" si="34"/>
        <v>0</v>
      </c>
      <c r="AH154" s="361">
        <f t="shared" si="34"/>
        <v>0</v>
      </c>
      <c r="AI154" s="361">
        <f t="shared" si="34"/>
        <v>0</v>
      </c>
      <c r="AJ154" s="361">
        <f t="shared" si="34"/>
        <v>0</v>
      </c>
      <c r="AK154" s="361">
        <f t="shared" si="34"/>
        <v>614000000</v>
      </c>
    </row>
    <row r="155" spans="1:37" ht="30" customHeight="1" x14ac:dyDescent="0.2">
      <c r="A155" s="16"/>
      <c r="B155" s="665"/>
      <c r="C155" s="116"/>
      <c r="D155" s="44"/>
      <c r="E155" s="116"/>
      <c r="F155" s="116"/>
      <c r="G155" s="44"/>
      <c r="H155" s="116"/>
      <c r="I155" s="44"/>
      <c r="J155" s="45"/>
      <c r="K155" s="55"/>
      <c r="L155" s="134"/>
      <c r="M155" s="585"/>
      <c r="N155" s="345"/>
      <c r="O155" s="74"/>
      <c r="P155" s="116"/>
      <c r="Q155" s="350"/>
      <c r="R155" s="351"/>
      <c r="S155" s="350"/>
      <c r="T155" s="350"/>
      <c r="U155" s="350"/>
      <c r="V155" s="350"/>
      <c r="W155" s="350"/>
      <c r="X155" s="350"/>
      <c r="Y155" s="350"/>
      <c r="Z155" s="350"/>
      <c r="AA155" s="350"/>
      <c r="AB155" s="351"/>
      <c r="AC155" s="351"/>
      <c r="AD155" s="350"/>
      <c r="AE155" s="350"/>
      <c r="AF155" s="386"/>
      <c r="AG155" s="385"/>
      <c r="AH155" s="350"/>
      <c r="AI155" s="350"/>
      <c r="AJ155" s="351"/>
      <c r="AK155" s="350"/>
    </row>
    <row r="156" spans="1:37" ht="30" customHeight="1" x14ac:dyDescent="0.2">
      <c r="A156" s="16"/>
      <c r="B156" s="118">
        <v>25</v>
      </c>
      <c r="C156" s="143" t="s">
        <v>204</v>
      </c>
      <c r="D156" s="144"/>
      <c r="E156" s="144"/>
      <c r="F156" s="144"/>
      <c r="G156" s="144"/>
      <c r="H156" s="143"/>
      <c r="I156" s="144"/>
      <c r="J156" s="144"/>
      <c r="K156" s="145"/>
      <c r="L156" s="145"/>
      <c r="M156" s="588"/>
      <c r="N156" s="143"/>
      <c r="O156" s="144"/>
      <c r="P156" s="144"/>
      <c r="Q156" s="390"/>
      <c r="R156" s="390"/>
      <c r="S156" s="390"/>
      <c r="T156" s="390"/>
      <c r="U156" s="390"/>
      <c r="V156" s="390"/>
      <c r="W156" s="390"/>
      <c r="X156" s="390"/>
      <c r="Y156" s="390"/>
      <c r="Z156" s="390"/>
      <c r="AA156" s="390"/>
      <c r="AB156" s="390"/>
      <c r="AC156" s="390"/>
      <c r="AD156" s="390"/>
      <c r="AE156" s="390"/>
      <c r="AF156" s="391"/>
      <c r="AG156" s="390"/>
      <c r="AH156" s="390"/>
      <c r="AI156" s="390"/>
      <c r="AJ156" s="390"/>
      <c r="AK156" s="392"/>
    </row>
    <row r="157" spans="1:37" ht="30" customHeight="1" x14ac:dyDescent="0.2">
      <c r="A157" s="16"/>
      <c r="B157" s="48"/>
      <c r="C157" s="3"/>
      <c r="D157" s="465"/>
      <c r="E157" s="465"/>
      <c r="F157" s="465"/>
      <c r="G157" s="50">
        <v>81</v>
      </c>
      <c r="H157" s="51" t="s">
        <v>205</v>
      </c>
      <c r="I157" s="51"/>
      <c r="J157" s="51"/>
      <c r="K157" s="146"/>
      <c r="L157" s="146"/>
      <c r="M157" s="581"/>
      <c r="N157" s="136"/>
      <c r="O157" s="51"/>
      <c r="P157" s="52"/>
      <c r="Q157" s="231"/>
      <c r="R157" s="231"/>
      <c r="S157" s="231"/>
      <c r="T157" s="231"/>
      <c r="U157" s="231"/>
      <c r="V157" s="231"/>
      <c r="W157" s="231"/>
      <c r="X157" s="231"/>
      <c r="Y157" s="231"/>
      <c r="Z157" s="231"/>
      <c r="AA157" s="231"/>
      <c r="AB157" s="231"/>
      <c r="AC157" s="231"/>
      <c r="AD157" s="231"/>
      <c r="AE157" s="231"/>
      <c r="AF157" s="359"/>
      <c r="AG157" s="231"/>
      <c r="AH157" s="231"/>
      <c r="AI157" s="231"/>
      <c r="AJ157" s="231"/>
      <c r="AK157" s="233"/>
    </row>
    <row r="158" spans="1:37" ht="67.5" customHeight="1" x14ac:dyDescent="0.2">
      <c r="A158" s="16"/>
      <c r="B158" s="16"/>
      <c r="C158" s="732">
        <v>13</v>
      </c>
      <c r="D158" s="735" t="s">
        <v>183</v>
      </c>
      <c r="E158" s="732" t="s">
        <v>184</v>
      </c>
      <c r="F158" s="732" t="s">
        <v>185</v>
      </c>
      <c r="G158" s="17"/>
      <c r="H158" s="673">
        <v>236</v>
      </c>
      <c r="I158" s="665" t="s">
        <v>206</v>
      </c>
      <c r="J158" s="18">
        <v>1</v>
      </c>
      <c r="K158" s="631">
        <v>8</v>
      </c>
      <c r="L158" s="743">
        <v>2017003630019</v>
      </c>
      <c r="M158" s="737" t="s">
        <v>207</v>
      </c>
      <c r="N158" s="731" t="s">
        <v>208</v>
      </c>
      <c r="O158" s="734" t="s">
        <v>870</v>
      </c>
      <c r="P158" s="673" t="s">
        <v>54</v>
      </c>
      <c r="Q158" s="346">
        <v>0</v>
      </c>
      <c r="R158" s="346">
        <v>0</v>
      </c>
      <c r="S158" s="346">
        <v>0</v>
      </c>
      <c r="T158" s="346">
        <v>0</v>
      </c>
      <c r="U158" s="346">
        <v>0</v>
      </c>
      <c r="V158" s="346">
        <v>0</v>
      </c>
      <c r="W158" s="346">
        <v>0</v>
      </c>
      <c r="X158" s="346"/>
      <c r="Y158" s="346"/>
      <c r="Z158" s="346">
        <v>0</v>
      </c>
      <c r="AA158" s="346">
        <v>0</v>
      </c>
      <c r="AB158" s="346"/>
      <c r="AC158" s="346"/>
      <c r="AD158" s="346">
        <v>0</v>
      </c>
      <c r="AE158" s="346">
        <v>0</v>
      </c>
      <c r="AF158" s="349">
        <f>63000000+42000000</f>
        <v>105000000</v>
      </c>
      <c r="AG158" s="349"/>
      <c r="AH158" s="346">
        <v>0</v>
      </c>
      <c r="AI158" s="348"/>
      <c r="AJ158" s="348">
        <v>0</v>
      </c>
      <c r="AK158" s="346">
        <f>Q158+R158+S158+T158+U158+V158+W158+X158+Y158+Z158+AA158+AB158+AC158+AD158+AE158+AF158+AG158+AH158+AI158+AJ158</f>
        <v>105000000</v>
      </c>
    </row>
    <row r="159" spans="1:37" ht="67.5" customHeight="1" x14ac:dyDescent="0.2">
      <c r="A159" s="16"/>
      <c r="B159" s="16"/>
      <c r="C159" s="732"/>
      <c r="D159" s="735"/>
      <c r="E159" s="732"/>
      <c r="F159" s="732"/>
      <c r="G159" s="23"/>
      <c r="H159" s="673">
        <v>237</v>
      </c>
      <c r="I159" s="665" t="s">
        <v>209</v>
      </c>
      <c r="J159" s="18" t="s">
        <v>32</v>
      </c>
      <c r="K159" s="631">
        <v>20</v>
      </c>
      <c r="L159" s="744"/>
      <c r="M159" s="738"/>
      <c r="N159" s="732"/>
      <c r="O159" s="735"/>
      <c r="P159" s="673" t="s">
        <v>54</v>
      </c>
      <c r="Q159" s="346">
        <v>0</v>
      </c>
      <c r="R159" s="346">
        <v>0</v>
      </c>
      <c r="S159" s="346">
        <v>0</v>
      </c>
      <c r="T159" s="346">
        <v>0</v>
      </c>
      <c r="U159" s="346">
        <v>0</v>
      </c>
      <c r="V159" s="346">
        <v>0</v>
      </c>
      <c r="W159" s="346">
        <v>0</v>
      </c>
      <c r="X159" s="346"/>
      <c r="Y159" s="346"/>
      <c r="Z159" s="346">
        <v>0</v>
      </c>
      <c r="AA159" s="346">
        <v>0</v>
      </c>
      <c r="AB159" s="346"/>
      <c r="AC159" s="346"/>
      <c r="AD159" s="346">
        <v>0</v>
      </c>
      <c r="AE159" s="346">
        <v>0</v>
      </c>
      <c r="AF159" s="349">
        <f>22000000+5000000</f>
        <v>27000000</v>
      </c>
      <c r="AG159" s="349"/>
      <c r="AH159" s="346">
        <v>0</v>
      </c>
      <c r="AI159" s="348"/>
      <c r="AJ159" s="348">
        <v>0</v>
      </c>
      <c r="AK159" s="346">
        <f>Q159+R159+S159+T159+U159+V159+W159+X159+Y159+Z159+AA159+AB159+AC159+AD159+AE159+AF159+AG159+AH159+AI159+AJ159</f>
        <v>27000000</v>
      </c>
    </row>
    <row r="160" spans="1:37" ht="101.25" customHeight="1" x14ac:dyDescent="0.2">
      <c r="A160" s="16"/>
      <c r="B160" s="16"/>
      <c r="C160" s="732"/>
      <c r="D160" s="735"/>
      <c r="E160" s="732"/>
      <c r="F160" s="732"/>
      <c r="G160" s="23"/>
      <c r="H160" s="673">
        <v>238</v>
      </c>
      <c r="I160" s="665" t="s">
        <v>210</v>
      </c>
      <c r="J160" s="18" t="s">
        <v>32</v>
      </c>
      <c r="K160" s="631">
        <v>12</v>
      </c>
      <c r="L160" s="744"/>
      <c r="M160" s="738"/>
      <c r="N160" s="732"/>
      <c r="O160" s="735"/>
      <c r="P160" s="673" t="s">
        <v>41</v>
      </c>
      <c r="Q160" s="346">
        <v>0</v>
      </c>
      <c r="R160" s="346">
        <v>0</v>
      </c>
      <c r="S160" s="346">
        <v>0</v>
      </c>
      <c r="T160" s="346">
        <v>0</v>
      </c>
      <c r="U160" s="346">
        <v>0</v>
      </c>
      <c r="V160" s="346">
        <v>0</v>
      </c>
      <c r="W160" s="346">
        <v>0</v>
      </c>
      <c r="X160" s="346"/>
      <c r="Y160" s="346"/>
      <c r="Z160" s="346">
        <v>0</v>
      </c>
      <c r="AA160" s="346">
        <v>0</v>
      </c>
      <c r="AB160" s="346"/>
      <c r="AC160" s="346"/>
      <c r="AD160" s="346">
        <v>0</v>
      </c>
      <c r="AE160" s="346">
        <v>0</v>
      </c>
      <c r="AF160" s="349">
        <f>73000000+30081242</f>
        <v>103081242</v>
      </c>
      <c r="AG160" s="349"/>
      <c r="AH160" s="346">
        <v>0</v>
      </c>
      <c r="AI160" s="348"/>
      <c r="AJ160" s="348">
        <v>0</v>
      </c>
      <c r="AK160" s="346">
        <f>Q160+R160+S160+T160+U160+V160+W160+X160+Y160+Z160+AA160+AB160+AC160+AD160+AE160+AF160+AG160+AH160+AI160+AJ160</f>
        <v>103081242</v>
      </c>
    </row>
    <row r="161" spans="1:37" ht="67.5" customHeight="1" x14ac:dyDescent="0.2">
      <c r="A161" s="16"/>
      <c r="B161" s="16"/>
      <c r="C161" s="732"/>
      <c r="D161" s="735"/>
      <c r="E161" s="732"/>
      <c r="F161" s="732"/>
      <c r="G161" s="23"/>
      <c r="H161" s="673">
        <v>239</v>
      </c>
      <c r="I161" s="665" t="s">
        <v>211</v>
      </c>
      <c r="J161" s="18" t="s">
        <v>32</v>
      </c>
      <c r="K161" s="631">
        <v>6</v>
      </c>
      <c r="L161" s="744"/>
      <c r="M161" s="738"/>
      <c r="N161" s="732"/>
      <c r="O161" s="735"/>
      <c r="P161" s="673" t="s">
        <v>54</v>
      </c>
      <c r="Q161" s="346">
        <v>0</v>
      </c>
      <c r="R161" s="346">
        <v>0</v>
      </c>
      <c r="S161" s="346">
        <v>0</v>
      </c>
      <c r="T161" s="346">
        <v>0</v>
      </c>
      <c r="U161" s="346">
        <v>0</v>
      </c>
      <c r="V161" s="346">
        <v>0</v>
      </c>
      <c r="W161" s="346">
        <v>0</v>
      </c>
      <c r="X161" s="346"/>
      <c r="Y161" s="346"/>
      <c r="Z161" s="346">
        <v>0</v>
      </c>
      <c r="AA161" s="346">
        <v>0</v>
      </c>
      <c r="AB161" s="346"/>
      <c r="AC161" s="346"/>
      <c r="AD161" s="346">
        <v>0</v>
      </c>
      <c r="AE161" s="346">
        <v>0</v>
      </c>
      <c r="AF161" s="349">
        <f>45000000+20000000</f>
        <v>65000000</v>
      </c>
      <c r="AG161" s="349"/>
      <c r="AH161" s="346">
        <v>0</v>
      </c>
      <c r="AI161" s="348"/>
      <c r="AJ161" s="348">
        <v>0</v>
      </c>
      <c r="AK161" s="346">
        <f>Q161+R161+S161+T161+U161+V161+W161+X161+Y161+Z161+AA161+AB161+AC161+AD161+AE161+AF161+AG161+AH161+AI161+AJ161</f>
        <v>65000000</v>
      </c>
    </row>
    <row r="162" spans="1:37" ht="67.5" customHeight="1" x14ac:dyDescent="0.2">
      <c r="A162" s="16"/>
      <c r="B162" s="16"/>
      <c r="C162" s="732"/>
      <c r="D162" s="735"/>
      <c r="E162" s="732"/>
      <c r="F162" s="732"/>
      <c r="G162" s="23"/>
      <c r="H162" s="673">
        <v>240</v>
      </c>
      <c r="I162" s="665" t="s">
        <v>212</v>
      </c>
      <c r="J162" s="18">
        <v>1</v>
      </c>
      <c r="K162" s="328">
        <v>1</v>
      </c>
      <c r="L162" s="745"/>
      <c r="M162" s="739"/>
      <c r="N162" s="733"/>
      <c r="O162" s="736"/>
      <c r="P162" s="673" t="s">
        <v>41</v>
      </c>
      <c r="Q162" s="346">
        <v>0</v>
      </c>
      <c r="R162" s="346">
        <v>0</v>
      </c>
      <c r="S162" s="346">
        <v>0</v>
      </c>
      <c r="T162" s="346">
        <v>0</v>
      </c>
      <c r="U162" s="346">
        <v>0</v>
      </c>
      <c r="V162" s="346">
        <v>0</v>
      </c>
      <c r="W162" s="346">
        <v>0</v>
      </c>
      <c r="X162" s="346"/>
      <c r="Y162" s="346"/>
      <c r="Z162" s="346">
        <v>0</v>
      </c>
      <c r="AA162" s="346">
        <v>0</v>
      </c>
      <c r="AB162" s="346"/>
      <c r="AC162" s="346"/>
      <c r="AD162" s="346">
        <v>0</v>
      </c>
      <c r="AE162" s="346">
        <v>0</v>
      </c>
      <c r="AF162" s="548">
        <f>250000000+70000000+100000000</f>
        <v>420000000</v>
      </c>
      <c r="AG162" s="349"/>
      <c r="AH162" s="346">
        <v>0</v>
      </c>
      <c r="AI162" s="348"/>
      <c r="AJ162" s="348">
        <v>0</v>
      </c>
      <c r="AK162" s="346">
        <f>Q162+R162+S162+T162+U162+V162+W162+X162+Y162+Z162+AA162+AB162+AC162+AD162+AE162+AF162+AG162+AH162+AI162+AJ162</f>
        <v>420000000</v>
      </c>
    </row>
    <row r="163" spans="1:37" ht="30" customHeight="1" x14ac:dyDescent="0.2">
      <c r="A163" s="16"/>
      <c r="B163" s="16"/>
      <c r="C163" s="649"/>
      <c r="D163" s="644"/>
      <c r="E163" s="649"/>
      <c r="F163" s="649"/>
      <c r="G163" s="30"/>
      <c r="H163" s="31"/>
      <c r="I163" s="30"/>
      <c r="J163" s="32"/>
      <c r="K163" s="56"/>
      <c r="L163" s="56"/>
      <c r="M163" s="151"/>
      <c r="N163" s="31"/>
      <c r="O163" s="30"/>
      <c r="P163" s="31"/>
      <c r="Q163" s="355">
        <f t="shared" ref="Q163:AJ163" si="35">SUM(Q158:Q162)</f>
        <v>0</v>
      </c>
      <c r="R163" s="355">
        <f t="shared" si="35"/>
        <v>0</v>
      </c>
      <c r="S163" s="355">
        <f t="shared" si="35"/>
        <v>0</v>
      </c>
      <c r="T163" s="355">
        <f t="shared" si="35"/>
        <v>0</v>
      </c>
      <c r="U163" s="355">
        <f t="shared" si="35"/>
        <v>0</v>
      </c>
      <c r="V163" s="355">
        <f t="shared" si="35"/>
        <v>0</v>
      </c>
      <c r="W163" s="355">
        <f t="shared" si="35"/>
        <v>0</v>
      </c>
      <c r="X163" s="355">
        <f t="shared" si="35"/>
        <v>0</v>
      </c>
      <c r="Y163" s="355">
        <f t="shared" si="35"/>
        <v>0</v>
      </c>
      <c r="Z163" s="355">
        <f t="shared" si="35"/>
        <v>0</v>
      </c>
      <c r="AA163" s="355">
        <f t="shared" si="35"/>
        <v>0</v>
      </c>
      <c r="AB163" s="355">
        <f t="shared" si="35"/>
        <v>0</v>
      </c>
      <c r="AC163" s="355">
        <f t="shared" si="35"/>
        <v>0</v>
      </c>
      <c r="AD163" s="355">
        <f t="shared" si="35"/>
        <v>0</v>
      </c>
      <c r="AE163" s="355">
        <f t="shared" si="35"/>
        <v>0</v>
      </c>
      <c r="AF163" s="355">
        <f t="shared" si="35"/>
        <v>720081242</v>
      </c>
      <c r="AG163" s="355">
        <f t="shared" si="35"/>
        <v>0</v>
      </c>
      <c r="AH163" s="355">
        <f t="shared" si="35"/>
        <v>0</v>
      </c>
      <c r="AI163" s="355">
        <f t="shared" si="35"/>
        <v>0</v>
      </c>
      <c r="AJ163" s="355">
        <f t="shared" si="35"/>
        <v>0</v>
      </c>
      <c r="AK163" s="355">
        <f>SUM(AK158:AK162)</f>
        <v>720081242</v>
      </c>
    </row>
    <row r="164" spans="1:37" ht="30" customHeight="1" x14ac:dyDescent="0.2">
      <c r="A164" s="16"/>
      <c r="B164" s="16"/>
      <c r="C164" s="116"/>
      <c r="D164" s="44"/>
      <c r="E164" s="116"/>
      <c r="F164" s="116"/>
      <c r="G164" s="44"/>
      <c r="H164" s="116"/>
      <c r="I164" s="44"/>
      <c r="J164" s="45"/>
      <c r="K164" s="55"/>
      <c r="L164" s="134"/>
      <c r="M164" s="585"/>
      <c r="N164" s="345"/>
      <c r="O164" s="74"/>
      <c r="P164" s="116"/>
      <c r="Q164" s="350"/>
      <c r="R164" s="351"/>
      <c r="S164" s="350"/>
      <c r="T164" s="350"/>
      <c r="U164" s="350"/>
      <c r="V164" s="350"/>
      <c r="W164" s="350"/>
      <c r="X164" s="350"/>
      <c r="Y164" s="350"/>
      <c r="Z164" s="350"/>
      <c r="AA164" s="350"/>
      <c r="AB164" s="351"/>
      <c r="AC164" s="351"/>
      <c r="AD164" s="350"/>
      <c r="AE164" s="350"/>
      <c r="AF164" s="685"/>
      <c r="AG164" s="687"/>
      <c r="AH164" s="350"/>
      <c r="AI164" s="350"/>
      <c r="AJ164" s="351"/>
      <c r="AK164" s="354"/>
    </row>
    <row r="165" spans="1:37" ht="30" customHeight="1" x14ac:dyDescent="0.2">
      <c r="A165" s="16"/>
      <c r="B165" s="16"/>
      <c r="C165" s="648"/>
      <c r="D165" s="642"/>
      <c r="E165" s="648"/>
      <c r="F165" s="648"/>
      <c r="G165" s="50">
        <v>82</v>
      </c>
      <c r="H165" s="51" t="s">
        <v>213</v>
      </c>
      <c r="I165" s="52"/>
      <c r="J165" s="52"/>
      <c r="K165" s="64"/>
      <c r="L165" s="64"/>
      <c r="M165" s="581"/>
      <c r="N165" s="136"/>
      <c r="O165" s="52"/>
      <c r="P165" s="52"/>
      <c r="Q165" s="231"/>
      <c r="R165" s="231"/>
      <c r="S165" s="231"/>
      <c r="T165" s="231"/>
      <c r="U165" s="231"/>
      <c r="V165" s="231"/>
      <c r="W165" s="231"/>
      <c r="X165" s="231"/>
      <c r="Y165" s="231"/>
      <c r="Z165" s="231"/>
      <c r="AA165" s="231"/>
      <c r="AB165" s="231"/>
      <c r="AC165" s="231"/>
      <c r="AD165" s="231"/>
      <c r="AE165" s="231"/>
      <c r="AF165" s="359"/>
      <c r="AG165" s="231"/>
      <c r="AH165" s="231"/>
      <c r="AI165" s="231"/>
      <c r="AJ165" s="231"/>
      <c r="AK165" s="233"/>
    </row>
    <row r="166" spans="1:37" ht="62.25" customHeight="1" x14ac:dyDescent="0.2">
      <c r="A166" s="16"/>
      <c r="B166" s="16"/>
      <c r="C166" s="732">
        <v>13</v>
      </c>
      <c r="D166" s="735" t="s">
        <v>183</v>
      </c>
      <c r="E166" s="732">
        <v>71.040000000000006</v>
      </c>
      <c r="F166" s="732">
        <v>88.17</v>
      </c>
      <c r="G166" s="731"/>
      <c r="H166" s="673">
        <v>241</v>
      </c>
      <c r="I166" s="665" t="s">
        <v>214</v>
      </c>
      <c r="J166" s="18">
        <v>1</v>
      </c>
      <c r="K166" s="19">
        <v>1</v>
      </c>
      <c r="L166" s="743">
        <v>2017003630020</v>
      </c>
      <c r="M166" s="737" t="s">
        <v>207</v>
      </c>
      <c r="N166" s="731" t="s">
        <v>215</v>
      </c>
      <c r="O166" s="734" t="s">
        <v>871</v>
      </c>
      <c r="P166" s="673" t="s">
        <v>41</v>
      </c>
      <c r="Q166" s="346">
        <v>0</v>
      </c>
      <c r="R166" s="346">
        <v>0</v>
      </c>
      <c r="S166" s="346">
        <v>0</v>
      </c>
      <c r="T166" s="346">
        <v>0</v>
      </c>
      <c r="U166" s="346">
        <v>0</v>
      </c>
      <c r="V166" s="346">
        <v>0</v>
      </c>
      <c r="W166" s="346">
        <v>0</v>
      </c>
      <c r="X166" s="346"/>
      <c r="Y166" s="346"/>
      <c r="Z166" s="346">
        <v>0</v>
      </c>
      <c r="AA166" s="346">
        <v>0</v>
      </c>
      <c r="AB166" s="346"/>
      <c r="AC166" s="346"/>
      <c r="AD166" s="346">
        <v>0</v>
      </c>
      <c r="AE166" s="346">
        <v>0</v>
      </c>
      <c r="AF166" s="547">
        <f>30000000+27479700-20000000</f>
        <v>37479700</v>
      </c>
      <c r="AG166" s="347"/>
      <c r="AH166" s="346">
        <v>0</v>
      </c>
      <c r="AI166" s="348"/>
      <c r="AJ166" s="348">
        <v>0</v>
      </c>
      <c r="AK166" s="346">
        <f>Q166+R166+S166+T166+U166+V166+W166+X166+Y166+Z166+AA166+AB166+AC166+AD166+AE166+AF166+AG166+AH166+AI166+AJ166</f>
        <v>37479700</v>
      </c>
    </row>
    <row r="167" spans="1:37" ht="62.25" customHeight="1" x14ac:dyDescent="0.2">
      <c r="A167" s="16"/>
      <c r="B167" s="16"/>
      <c r="C167" s="732"/>
      <c r="D167" s="735"/>
      <c r="E167" s="732"/>
      <c r="F167" s="732"/>
      <c r="G167" s="733"/>
      <c r="H167" s="673">
        <v>242</v>
      </c>
      <c r="I167" s="665" t="s">
        <v>216</v>
      </c>
      <c r="J167" s="18">
        <v>1</v>
      </c>
      <c r="K167" s="19">
        <v>1</v>
      </c>
      <c r="L167" s="745"/>
      <c r="M167" s="739"/>
      <c r="N167" s="733"/>
      <c r="O167" s="736"/>
      <c r="P167" s="673" t="s">
        <v>41</v>
      </c>
      <c r="Q167" s="346">
        <v>0</v>
      </c>
      <c r="R167" s="346">
        <v>0</v>
      </c>
      <c r="S167" s="346">
        <v>0</v>
      </c>
      <c r="T167" s="346">
        <v>0</v>
      </c>
      <c r="U167" s="346">
        <v>0</v>
      </c>
      <c r="V167" s="346">
        <v>0</v>
      </c>
      <c r="W167" s="346">
        <v>0</v>
      </c>
      <c r="X167" s="346"/>
      <c r="Y167" s="346"/>
      <c r="Z167" s="346">
        <v>0</v>
      </c>
      <c r="AA167" s="346">
        <v>0</v>
      </c>
      <c r="AB167" s="346"/>
      <c r="AC167" s="346"/>
      <c r="AD167" s="346">
        <v>0</v>
      </c>
      <c r="AE167" s="346">
        <v>0</v>
      </c>
      <c r="AF167" s="547">
        <f>55000000+20000000</f>
        <v>75000000</v>
      </c>
      <c r="AG167" s="347"/>
      <c r="AH167" s="346">
        <v>0</v>
      </c>
      <c r="AI167" s="348"/>
      <c r="AJ167" s="348">
        <v>0</v>
      </c>
      <c r="AK167" s="346">
        <f>Q167+R167+S167+T167+U167+V167+W167+X167+Y167+Z167+AA167+AB167+AC167+AD167+AE167+AF167+AG167+AH167+AI167+AJ167</f>
        <v>75000000</v>
      </c>
    </row>
    <row r="168" spans="1:37" ht="30" customHeight="1" x14ac:dyDescent="0.2">
      <c r="A168" s="16"/>
      <c r="B168" s="29"/>
      <c r="C168" s="649"/>
      <c r="D168" s="644"/>
      <c r="E168" s="649"/>
      <c r="F168" s="649"/>
      <c r="G168" s="66"/>
      <c r="H168" s="67"/>
      <c r="I168" s="30"/>
      <c r="J168" s="32"/>
      <c r="K168" s="56"/>
      <c r="L168" s="56"/>
      <c r="M168" s="151"/>
      <c r="N168" s="31"/>
      <c r="O168" s="30"/>
      <c r="P168" s="31"/>
      <c r="Q168" s="355">
        <f t="shared" ref="Q168:AK168" si="36">SUM(Q166:Q167)</f>
        <v>0</v>
      </c>
      <c r="R168" s="355">
        <f t="shared" si="36"/>
        <v>0</v>
      </c>
      <c r="S168" s="355">
        <f t="shared" si="36"/>
        <v>0</v>
      </c>
      <c r="T168" s="355">
        <f t="shared" si="36"/>
        <v>0</v>
      </c>
      <c r="U168" s="355">
        <f t="shared" si="36"/>
        <v>0</v>
      </c>
      <c r="V168" s="355">
        <f t="shared" si="36"/>
        <v>0</v>
      </c>
      <c r="W168" s="355">
        <f t="shared" si="36"/>
        <v>0</v>
      </c>
      <c r="X168" s="355">
        <f t="shared" si="36"/>
        <v>0</v>
      </c>
      <c r="Y168" s="355">
        <f t="shared" si="36"/>
        <v>0</v>
      </c>
      <c r="Z168" s="355">
        <f t="shared" si="36"/>
        <v>0</v>
      </c>
      <c r="AA168" s="355">
        <f t="shared" si="36"/>
        <v>0</v>
      </c>
      <c r="AB168" s="355">
        <f t="shared" si="36"/>
        <v>0</v>
      </c>
      <c r="AC168" s="355">
        <f t="shared" si="36"/>
        <v>0</v>
      </c>
      <c r="AD168" s="355">
        <f t="shared" si="36"/>
        <v>0</v>
      </c>
      <c r="AE168" s="355">
        <f t="shared" si="36"/>
        <v>0</v>
      </c>
      <c r="AF168" s="355">
        <f t="shared" si="36"/>
        <v>112479700</v>
      </c>
      <c r="AG168" s="355">
        <f t="shared" si="36"/>
        <v>0</v>
      </c>
      <c r="AH168" s="355">
        <f t="shared" si="36"/>
        <v>0</v>
      </c>
      <c r="AI168" s="355">
        <f t="shared" si="36"/>
        <v>0</v>
      </c>
      <c r="AJ168" s="355">
        <f t="shared" si="36"/>
        <v>0</v>
      </c>
      <c r="AK168" s="355">
        <f t="shared" si="36"/>
        <v>112479700</v>
      </c>
    </row>
    <row r="169" spans="1:37" ht="30" customHeight="1" x14ac:dyDescent="0.2">
      <c r="A169" s="29"/>
      <c r="B169" s="34"/>
      <c r="C169" s="70"/>
      <c r="D169" s="34"/>
      <c r="E169" s="35"/>
      <c r="F169" s="35"/>
      <c r="G169" s="71"/>
      <c r="H169" s="72"/>
      <c r="I169" s="34"/>
      <c r="J169" s="36"/>
      <c r="K169" s="73"/>
      <c r="L169" s="73"/>
      <c r="M169" s="303"/>
      <c r="N169" s="35"/>
      <c r="O169" s="34"/>
      <c r="P169" s="35"/>
      <c r="Q169" s="361">
        <f t="shared" ref="Q169:AK169" si="37">Q168+Q163</f>
        <v>0</v>
      </c>
      <c r="R169" s="361">
        <f t="shared" si="37"/>
        <v>0</v>
      </c>
      <c r="S169" s="361">
        <f t="shared" si="37"/>
        <v>0</v>
      </c>
      <c r="T169" s="361">
        <f t="shared" si="37"/>
        <v>0</v>
      </c>
      <c r="U169" s="361">
        <f t="shared" si="37"/>
        <v>0</v>
      </c>
      <c r="V169" s="361">
        <f t="shared" si="37"/>
        <v>0</v>
      </c>
      <c r="W169" s="361">
        <f t="shared" si="37"/>
        <v>0</v>
      </c>
      <c r="X169" s="361">
        <f t="shared" si="37"/>
        <v>0</v>
      </c>
      <c r="Y169" s="361">
        <f t="shared" si="37"/>
        <v>0</v>
      </c>
      <c r="Z169" s="361">
        <f t="shared" si="37"/>
        <v>0</v>
      </c>
      <c r="AA169" s="361">
        <f t="shared" si="37"/>
        <v>0</v>
      </c>
      <c r="AB169" s="361">
        <f t="shared" si="37"/>
        <v>0</v>
      </c>
      <c r="AC169" s="361">
        <f t="shared" si="37"/>
        <v>0</v>
      </c>
      <c r="AD169" s="361">
        <f t="shared" si="37"/>
        <v>0</v>
      </c>
      <c r="AE169" s="361">
        <f t="shared" si="37"/>
        <v>0</v>
      </c>
      <c r="AF169" s="361">
        <f t="shared" si="37"/>
        <v>832560942</v>
      </c>
      <c r="AG169" s="361">
        <f t="shared" si="37"/>
        <v>0</v>
      </c>
      <c r="AH169" s="361">
        <f t="shared" si="37"/>
        <v>0</v>
      </c>
      <c r="AI169" s="361">
        <f t="shared" si="37"/>
        <v>0</v>
      </c>
      <c r="AJ169" s="361">
        <f t="shared" si="37"/>
        <v>0</v>
      </c>
      <c r="AK169" s="361">
        <f t="shared" si="37"/>
        <v>832560942</v>
      </c>
    </row>
    <row r="170" spans="1:37" ht="30" customHeight="1" x14ac:dyDescent="0.2">
      <c r="A170" s="37"/>
      <c r="B170" s="37"/>
      <c r="C170" s="38"/>
      <c r="D170" s="37"/>
      <c r="E170" s="38"/>
      <c r="F170" s="38"/>
      <c r="G170" s="147"/>
      <c r="H170" s="148"/>
      <c r="I170" s="37"/>
      <c r="J170" s="39"/>
      <c r="K170" s="97"/>
      <c r="L170" s="97"/>
      <c r="M170" s="311"/>
      <c r="N170" s="38"/>
      <c r="O170" s="37"/>
      <c r="P170" s="38"/>
      <c r="Q170" s="367">
        <f t="shared" ref="Q170:AK170" si="38">Q169+Q154+Q133</f>
        <v>0</v>
      </c>
      <c r="R170" s="367">
        <f t="shared" si="38"/>
        <v>0</v>
      </c>
      <c r="S170" s="367">
        <f t="shared" si="38"/>
        <v>0</v>
      </c>
      <c r="T170" s="367">
        <f t="shared" si="38"/>
        <v>6614956012.3800001</v>
      </c>
      <c r="U170" s="367">
        <f t="shared" si="38"/>
        <v>0</v>
      </c>
      <c r="V170" s="367">
        <f t="shared" si="38"/>
        <v>0</v>
      </c>
      <c r="W170" s="367">
        <f t="shared" si="38"/>
        <v>0</v>
      </c>
      <c r="X170" s="367">
        <f t="shared" si="38"/>
        <v>0</v>
      </c>
      <c r="Y170" s="367">
        <f t="shared" si="38"/>
        <v>0</v>
      </c>
      <c r="Z170" s="367">
        <f t="shared" si="38"/>
        <v>0</v>
      </c>
      <c r="AA170" s="367">
        <f t="shared" si="38"/>
        <v>0</v>
      </c>
      <c r="AB170" s="367">
        <f t="shared" si="38"/>
        <v>0</v>
      </c>
      <c r="AC170" s="367">
        <f t="shared" si="38"/>
        <v>0</v>
      </c>
      <c r="AD170" s="367">
        <f t="shared" si="38"/>
        <v>0</v>
      </c>
      <c r="AE170" s="367">
        <f t="shared" si="38"/>
        <v>0</v>
      </c>
      <c r="AF170" s="367">
        <f t="shared" si="38"/>
        <v>1736560942</v>
      </c>
      <c r="AG170" s="367">
        <f t="shared" si="38"/>
        <v>0</v>
      </c>
      <c r="AH170" s="367">
        <f t="shared" si="38"/>
        <v>0</v>
      </c>
      <c r="AI170" s="367">
        <f t="shared" si="38"/>
        <v>0</v>
      </c>
      <c r="AJ170" s="367">
        <f t="shared" si="38"/>
        <v>0</v>
      </c>
      <c r="AK170" s="367">
        <f t="shared" si="38"/>
        <v>8351516954.3800001</v>
      </c>
    </row>
    <row r="171" spans="1:37" ht="30" customHeight="1" x14ac:dyDescent="0.2">
      <c r="A171" s="43"/>
      <c r="B171" s="44"/>
      <c r="C171" s="116"/>
      <c r="D171" s="44"/>
      <c r="E171" s="116"/>
      <c r="F171" s="116"/>
      <c r="G171" s="74"/>
      <c r="H171" s="345"/>
      <c r="I171" s="44"/>
      <c r="J171" s="45"/>
      <c r="K171" s="55"/>
      <c r="L171" s="134"/>
      <c r="M171" s="585"/>
      <c r="N171" s="345"/>
      <c r="O171" s="74"/>
      <c r="P171" s="116"/>
      <c r="Q171" s="350"/>
      <c r="R171" s="351"/>
      <c r="S171" s="350"/>
      <c r="T171" s="350"/>
      <c r="U171" s="350"/>
      <c r="V171" s="350"/>
      <c r="W171" s="350"/>
      <c r="X171" s="350"/>
      <c r="Y171" s="350"/>
      <c r="Z171" s="350"/>
      <c r="AA171" s="350"/>
      <c r="AB171" s="351"/>
      <c r="AC171" s="351"/>
      <c r="AD171" s="350"/>
      <c r="AE171" s="350"/>
      <c r="AF171" s="352"/>
      <c r="AG171" s="350"/>
      <c r="AH171" s="350"/>
      <c r="AI171" s="350"/>
      <c r="AJ171" s="351"/>
      <c r="AK171" s="350"/>
    </row>
    <row r="172" spans="1:37" ht="30" customHeight="1" x14ac:dyDescent="0.2">
      <c r="A172" s="688">
        <v>5</v>
      </c>
      <c r="B172" s="7" t="s">
        <v>26</v>
      </c>
      <c r="C172" s="8"/>
      <c r="D172" s="7"/>
      <c r="E172" s="7"/>
      <c r="F172" s="7"/>
      <c r="G172" s="7"/>
      <c r="H172" s="8"/>
      <c r="I172" s="7"/>
      <c r="J172" s="7"/>
      <c r="K172" s="100"/>
      <c r="L172" s="100"/>
      <c r="M172" s="578"/>
      <c r="N172" s="8"/>
      <c r="O172" s="7"/>
      <c r="P172" s="7"/>
      <c r="Q172" s="376"/>
      <c r="R172" s="376"/>
      <c r="S172" s="376"/>
      <c r="T172" s="376"/>
      <c r="U172" s="376"/>
      <c r="V172" s="376"/>
      <c r="W172" s="376"/>
      <c r="X172" s="376"/>
      <c r="Y172" s="376"/>
      <c r="Z172" s="376"/>
      <c r="AA172" s="376"/>
      <c r="AB172" s="376"/>
      <c r="AC172" s="376"/>
      <c r="AD172" s="376"/>
      <c r="AE172" s="376"/>
      <c r="AF172" s="377"/>
      <c r="AG172" s="376"/>
      <c r="AH172" s="376"/>
      <c r="AI172" s="376"/>
      <c r="AJ172" s="376"/>
      <c r="AK172" s="378"/>
    </row>
    <row r="173" spans="1:37" ht="30" customHeight="1" x14ac:dyDescent="0.2">
      <c r="A173" s="17"/>
      <c r="B173" s="118">
        <v>26</v>
      </c>
      <c r="C173" s="11" t="s">
        <v>57</v>
      </c>
      <c r="D173" s="12"/>
      <c r="E173" s="12"/>
      <c r="F173" s="12"/>
      <c r="G173" s="12"/>
      <c r="H173" s="13"/>
      <c r="I173" s="12"/>
      <c r="J173" s="12"/>
      <c r="K173" s="63"/>
      <c r="L173" s="63"/>
      <c r="M173" s="579"/>
      <c r="N173" s="13"/>
      <c r="O173" s="12"/>
      <c r="P173" s="12"/>
      <c r="Q173" s="357"/>
      <c r="R173" s="357"/>
      <c r="S173" s="357"/>
      <c r="T173" s="357"/>
      <c r="U173" s="357"/>
      <c r="V173" s="357"/>
      <c r="W173" s="357"/>
      <c r="X173" s="357"/>
      <c r="Y173" s="357"/>
      <c r="Z173" s="357"/>
      <c r="AA173" s="357"/>
      <c r="AB173" s="357"/>
      <c r="AC173" s="357"/>
      <c r="AD173" s="357"/>
      <c r="AE173" s="357"/>
      <c r="AF173" s="358"/>
      <c r="AG173" s="357"/>
      <c r="AH173" s="357"/>
      <c r="AI173" s="357"/>
      <c r="AJ173" s="357"/>
      <c r="AK173" s="362"/>
    </row>
    <row r="174" spans="1:37" ht="30" customHeight="1" x14ac:dyDescent="0.2">
      <c r="A174" s="23"/>
      <c r="B174" s="17"/>
      <c r="C174" s="648"/>
      <c r="D174" s="642"/>
      <c r="E174" s="648"/>
      <c r="F174" s="648"/>
      <c r="G174" s="50">
        <v>84</v>
      </c>
      <c r="H174" s="52" t="s">
        <v>63</v>
      </c>
      <c r="I174" s="52"/>
      <c r="J174" s="52"/>
      <c r="K174" s="64"/>
      <c r="L174" s="64"/>
      <c r="M174" s="581"/>
      <c r="N174" s="136"/>
      <c r="O174" s="52"/>
      <c r="P174" s="52"/>
      <c r="Q174" s="231"/>
      <c r="R174" s="231"/>
      <c r="S174" s="231"/>
      <c r="T174" s="231"/>
      <c r="U174" s="231"/>
      <c r="V174" s="231"/>
      <c r="W174" s="231"/>
      <c r="X174" s="231"/>
      <c r="Y174" s="231"/>
      <c r="Z174" s="231"/>
      <c r="AA174" s="231"/>
      <c r="AB174" s="231"/>
      <c r="AC174" s="231"/>
      <c r="AD174" s="231"/>
      <c r="AE174" s="231"/>
      <c r="AF174" s="359"/>
      <c r="AG174" s="231"/>
      <c r="AH174" s="231"/>
      <c r="AI174" s="231"/>
      <c r="AJ174" s="231"/>
      <c r="AK174" s="233"/>
    </row>
    <row r="175" spans="1:37" ht="50.25" customHeight="1" x14ac:dyDescent="0.2">
      <c r="A175" s="237">
        <f>+A174</f>
        <v>0</v>
      </c>
      <c r="B175" s="23"/>
      <c r="C175" s="638">
        <v>37</v>
      </c>
      <c r="D175" s="643" t="s">
        <v>217</v>
      </c>
      <c r="E175" s="638">
        <v>54.61</v>
      </c>
      <c r="F175" s="638">
        <v>60</v>
      </c>
      <c r="G175" s="642"/>
      <c r="H175" s="648">
        <v>247</v>
      </c>
      <c r="I175" s="642" t="s">
        <v>218</v>
      </c>
      <c r="J175" s="639" t="s">
        <v>32</v>
      </c>
      <c r="K175" s="24">
        <v>1</v>
      </c>
      <c r="L175" s="722">
        <v>2017003630016</v>
      </c>
      <c r="M175" s="658" t="s">
        <v>69</v>
      </c>
      <c r="N175" s="648" t="s">
        <v>219</v>
      </c>
      <c r="O175" s="642" t="s">
        <v>872</v>
      </c>
      <c r="P175" s="133" t="s">
        <v>41</v>
      </c>
      <c r="Q175" s="382">
        <v>0</v>
      </c>
      <c r="R175" s="382">
        <v>0</v>
      </c>
      <c r="S175" s="382">
        <v>0</v>
      </c>
      <c r="T175" s="382">
        <v>0</v>
      </c>
      <c r="U175" s="382">
        <v>0</v>
      </c>
      <c r="V175" s="382">
        <v>0</v>
      </c>
      <c r="W175" s="382">
        <v>0</v>
      </c>
      <c r="X175" s="382"/>
      <c r="Y175" s="382"/>
      <c r="Z175" s="382">
        <v>0</v>
      </c>
      <c r="AA175" s="382">
        <v>0</v>
      </c>
      <c r="AB175" s="382"/>
      <c r="AC175" s="382"/>
      <c r="AD175" s="382">
        <v>0</v>
      </c>
      <c r="AE175" s="382">
        <v>0</v>
      </c>
      <c r="AF175" s="399">
        <f>29000000+21000000</f>
        <v>50000000</v>
      </c>
      <c r="AG175" s="399"/>
      <c r="AH175" s="382">
        <v>0</v>
      </c>
      <c r="AI175" s="409"/>
      <c r="AJ175" s="409">
        <v>0</v>
      </c>
      <c r="AK175" s="346">
        <f>Q175+R175+S175+T175+U175+V175+W175+X175+Y175+Z175+AA175+AB175+AC175+AD175+AE175+AF175+AG175+AH175+AI175+AJ175</f>
        <v>50000000</v>
      </c>
    </row>
    <row r="176" spans="1:37" ht="30" customHeight="1" x14ac:dyDescent="0.2">
      <c r="A176" s="513"/>
      <c r="B176" s="636"/>
      <c r="C176" s="116"/>
      <c r="D176" s="44"/>
      <c r="E176" s="116"/>
      <c r="F176" s="663"/>
      <c r="G176" s="30"/>
      <c r="H176" s="207"/>
      <c r="I176" s="207"/>
      <c r="J176" s="207"/>
      <c r="K176" s="499"/>
      <c r="L176" s="499"/>
      <c r="M176" s="216"/>
      <c r="N176" s="500"/>
      <c r="O176" s="207"/>
      <c r="P176" s="207"/>
      <c r="Q176" s="444">
        <f t="shared" ref="Q176:AK176" si="39">SUM(Q175)</f>
        <v>0</v>
      </c>
      <c r="R176" s="444">
        <f t="shared" si="39"/>
        <v>0</v>
      </c>
      <c r="S176" s="444">
        <f t="shared" si="39"/>
        <v>0</v>
      </c>
      <c r="T176" s="444">
        <f t="shared" si="39"/>
        <v>0</v>
      </c>
      <c r="U176" s="444">
        <f t="shared" si="39"/>
        <v>0</v>
      </c>
      <c r="V176" s="444">
        <f t="shared" si="39"/>
        <v>0</v>
      </c>
      <c r="W176" s="444">
        <f t="shared" si="39"/>
        <v>0</v>
      </c>
      <c r="X176" s="444">
        <f t="shared" si="39"/>
        <v>0</v>
      </c>
      <c r="Y176" s="444">
        <f t="shared" si="39"/>
        <v>0</v>
      </c>
      <c r="Z176" s="444">
        <f t="shared" si="39"/>
        <v>0</v>
      </c>
      <c r="AA176" s="444">
        <f t="shared" si="39"/>
        <v>0</v>
      </c>
      <c r="AB176" s="444">
        <f t="shared" si="39"/>
        <v>0</v>
      </c>
      <c r="AC176" s="444">
        <f t="shared" si="39"/>
        <v>0</v>
      </c>
      <c r="AD176" s="444">
        <f t="shared" si="39"/>
        <v>0</v>
      </c>
      <c r="AE176" s="444">
        <f t="shared" si="39"/>
        <v>0</v>
      </c>
      <c r="AF176" s="407">
        <f t="shared" si="39"/>
        <v>50000000</v>
      </c>
      <c r="AG176" s="444">
        <f t="shared" si="39"/>
        <v>0</v>
      </c>
      <c r="AH176" s="444">
        <f t="shared" si="39"/>
        <v>0</v>
      </c>
      <c r="AI176" s="444">
        <f t="shared" si="39"/>
        <v>0</v>
      </c>
      <c r="AJ176" s="444">
        <f t="shared" si="39"/>
        <v>0</v>
      </c>
      <c r="AK176" s="447">
        <f t="shared" si="39"/>
        <v>50000000</v>
      </c>
    </row>
    <row r="177" spans="1:37" ht="30" customHeight="1" x14ac:dyDescent="0.2">
      <c r="A177" s="513"/>
      <c r="B177" s="689"/>
      <c r="C177" s="690"/>
      <c r="D177" s="689"/>
      <c r="E177" s="690"/>
      <c r="F177" s="690"/>
      <c r="G177" s="689"/>
      <c r="H177" s="35"/>
      <c r="I177" s="34"/>
      <c r="J177" s="36"/>
      <c r="K177" s="73"/>
      <c r="L177" s="73"/>
      <c r="M177" s="303"/>
      <c r="N177" s="35"/>
      <c r="O177" s="34"/>
      <c r="P177" s="35"/>
      <c r="Q177" s="361">
        <f t="shared" ref="Q177:AK177" si="40">Q176</f>
        <v>0</v>
      </c>
      <c r="R177" s="361">
        <f t="shared" si="40"/>
        <v>0</v>
      </c>
      <c r="S177" s="361">
        <f t="shared" si="40"/>
        <v>0</v>
      </c>
      <c r="T177" s="361">
        <f t="shared" si="40"/>
        <v>0</v>
      </c>
      <c r="U177" s="361">
        <f t="shared" si="40"/>
        <v>0</v>
      </c>
      <c r="V177" s="361">
        <f t="shared" si="40"/>
        <v>0</v>
      </c>
      <c r="W177" s="361">
        <f t="shared" si="40"/>
        <v>0</v>
      </c>
      <c r="X177" s="361">
        <f t="shared" si="40"/>
        <v>0</v>
      </c>
      <c r="Y177" s="361">
        <f t="shared" si="40"/>
        <v>0</v>
      </c>
      <c r="Z177" s="361">
        <f t="shared" si="40"/>
        <v>0</v>
      </c>
      <c r="AA177" s="361">
        <f t="shared" si="40"/>
        <v>0</v>
      </c>
      <c r="AB177" s="361">
        <f t="shared" si="40"/>
        <v>0</v>
      </c>
      <c r="AC177" s="361">
        <f t="shared" si="40"/>
        <v>0</v>
      </c>
      <c r="AD177" s="361">
        <f t="shared" si="40"/>
        <v>0</v>
      </c>
      <c r="AE177" s="361">
        <f t="shared" si="40"/>
        <v>0</v>
      </c>
      <c r="AF177" s="361">
        <f t="shared" si="40"/>
        <v>50000000</v>
      </c>
      <c r="AG177" s="361">
        <f t="shared" si="40"/>
        <v>0</v>
      </c>
      <c r="AH177" s="361">
        <f t="shared" si="40"/>
        <v>0</v>
      </c>
      <c r="AI177" s="361">
        <f t="shared" si="40"/>
        <v>0</v>
      </c>
      <c r="AJ177" s="361">
        <f t="shared" si="40"/>
        <v>0</v>
      </c>
      <c r="AK177" s="361">
        <f t="shared" si="40"/>
        <v>50000000</v>
      </c>
    </row>
    <row r="178" spans="1:37" ht="30" customHeight="1" x14ac:dyDescent="0.2">
      <c r="A178" s="513"/>
      <c r="B178" s="612"/>
      <c r="C178" s="680"/>
      <c r="D178" s="612"/>
      <c r="E178" s="680"/>
      <c r="F178" s="680"/>
      <c r="G178" s="612"/>
      <c r="H178" s="680"/>
      <c r="I178" s="612"/>
      <c r="J178" s="611"/>
      <c r="K178" s="691"/>
      <c r="L178" s="691"/>
      <c r="M178" s="682"/>
      <c r="N178" s="680"/>
      <c r="O178" s="612"/>
      <c r="P178" s="680"/>
      <c r="Q178" s="683"/>
      <c r="R178" s="684"/>
      <c r="S178" s="683"/>
      <c r="T178" s="683"/>
      <c r="U178" s="683"/>
      <c r="V178" s="683"/>
      <c r="W178" s="683"/>
      <c r="X178" s="683"/>
      <c r="Y178" s="683"/>
      <c r="Z178" s="683"/>
      <c r="AA178" s="683"/>
      <c r="AB178" s="684"/>
      <c r="AC178" s="684"/>
      <c r="AD178" s="683"/>
      <c r="AE178" s="683"/>
      <c r="AF178" s="685"/>
      <c r="AG178" s="687"/>
      <c r="AH178" s="683"/>
      <c r="AI178" s="683"/>
      <c r="AJ178" s="684"/>
      <c r="AK178" s="683"/>
    </row>
    <row r="179" spans="1:37" ht="30" customHeight="1" x14ac:dyDescent="0.2">
      <c r="A179" s="23"/>
      <c r="B179" s="497">
        <v>27</v>
      </c>
      <c r="C179" s="498" t="s">
        <v>66</v>
      </c>
      <c r="D179" s="498"/>
      <c r="E179" s="498"/>
      <c r="F179" s="498"/>
      <c r="G179" s="498"/>
      <c r="H179" s="162"/>
      <c r="I179" s="296"/>
      <c r="J179" s="296"/>
      <c r="K179" s="501"/>
      <c r="L179" s="501"/>
      <c r="M179" s="161"/>
      <c r="N179" s="162"/>
      <c r="O179" s="296"/>
      <c r="P179" s="296"/>
      <c r="Q179" s="445"/>
      <c r="R179" s="445"/>
      <c r="S179" s="445"/>
      <c r="T179" s="445"/>
      <c r="U179" s="445"/>
      <c r="V179" s="445"/>
      <c r="W179" s="445"/>
      <c r="X179" s="445"/>
      <c r="Y179" s="445"/>
      <c r="Z179" s="445"/>
      <c r="AA179" s="445"/>
      <c r="AB179" s="445"/>
      <c r="AC179" s="445"/>
      <c r="AD179" s="445"/>
      <c r="AE179" s="445"/>
      <c r="AF179" s="502"/>
      <c r="AG179" s="445"/>
      <c r="AH179" s="445"/>
      <c r="AI179" s="445"/>
      <c r="AJ179" s="445"/>
      <c r="AK179" s="445"/>
    </row>
    <row r="180" spans="1:37" ht="30" customHeight="1" x14ac:dyDescent="0.2">
      <c r="A180" s="23"/>
      <c r="B180" s="17"/>
      <c r="C180" s="648"/>
      <c r="D180" s="17"/>
      <c r="E180" s="17"/>
      <c r="F180" s="17"/>
      <c r="G180" s="50">
        <v>85</v>
      </c>
      <c r="H180" s="207" t="s">
        <v>67</v>
      </c>
      <c r="I180" s="207"/>
      <c r="J180" s="207"/>
      <c r="K180" s="207"/>
      <c r="L180" s="207"/>
      <c r="M180" s="216"/>
      <c r="N180" s="207"/>
      <c r="O180" s="207"/>
      <c r="P180" s="207"/>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row>
    <row r="181" spans="1:37" ht="84" customHeight="1" x14ac:dyDescent="0.2">
      <c r="A181" s="23"/>
      <c r="B181" s="23"/>
      <c r="C181" s="732">
        <v>37</v>
      </c>
      <c r="D181" s="735" t="s">
        <v>220</v>
      </c>
      <c r="E181" s="732">
        <v>54.61</v>
      </c>
      <c r="F181" s="732">
        <v>60</v>
      </c>
      <c r="G181" s="23"/>
      <c r="H181" s="648">
        <v>250</v>
      </c>
      <c r="I181" s="665" t="s">
        <v>221</v>
      </c>
      <c r="J181" s="18">
        <v>1</v>
      </c>
      <c r="K181" s="28">
        <v>3</v>
      </c>
      <c r="L181" s="743">
        <v>2017003630014</v>
      </c>
      <c r="M181" s="737" t="s">
        <v>69</v>
      </c>
      <c r="N181" s="732" t="s">
        <v>222</v>
      </c>
      <c r="O181" s="735" t="s">
        <v>223</v>
      </c>
      <c r="P181" s="132" t="s">
        <v>41</v>
      </c>
      <c r="Q181" s="346">
        <v>0</v>
      </c>
      <c r="R181" s="346">
        <v>0</v>
      </c>
      <c r="S181" s="346">
        <v>0</v>
      </c>
      <c r="T181" s="346">
        <v>0</v>
      </c>
      <c r="U181" s="346">
        <v>0</v>
      </c>
      <c r="V181" s="346">
        <v>0</v>
      </c>
      <c r="W181" s="346">
        <v>0</v>
      </c>
      <c r="X181" s="346">
        <v>0</v>
      </c>
      <c r="Y181" s="346">
        <v>0</v>
      </c>
      <c r="Z181" s="346">
        <v>0</v>
      </c>
      <c r="AA181" s="346">
        <v>0</v>
      </c>
      <c r="AB181" s="346">
        <v>0</v>
      </c>
      <c r="AC181" s="346">
        <v>0</v>
      </c>
      <c r="AD181" s="346">
        <v>0</v>
      </c>
      <c r="AE181" s="346">
        <v>0</v>
      </c>
      <c r="AF181" s="538">
        <f>188000000+170000000+6500000</f>
        <v>364500000</v>
      </c>
      <c r="AG181" s="346">
        <v>0</v>
      </c>
      <c r="AH181" s="346">
        <v>0</v>
      </c>
      <c r="AI181" s="346"/>
      <c r="AJ181" s="346">
        <v>0</v>
      </c>
      <c r="AK181" s="346">
        <f>Q181+R181+S181+T181+U181+V181+W181+X181+Y181+Z181+AA181+AB181+AC181+AD181+AE181+AF181+AG181+AH181+AI181+AJ181</f>
        <v>364500000</v>
      </c>
    </row>
    <row r="182" spans="1:37" ht="54.75" customHeight="1" x14ac:dyDescent="0.2">
      <c r="A182" s="23"/>
      <c r="B182" s="23"/>
      <c r="C182" s="732"/>
      <c r="D182" s="735"/>
      <c r="E182" s="732"/>
      <c r="F182" s="732"/>
      <c r="G182" s="23"/>
      <c r="H182" s="648">
        <v>251</v>
      </c>
      <c r="I182" s="665" t="s">
        <v>224</v>
      </c>
      <c r="J182" s="18">
        <v>0</v>
      </c>
      <c r="K182" s="28">
        <v>1</v>
      </c>
      <c r="L182" s="744"/>
      <c r="M182" s="738"/>
      <c r="N182" s="732"/>
      <c r="O182" s="735"/>
      <c r="P182" s="132" t="s">
        <v>41</v>
      </c>
      <c r="Q182" s="346">
        <v>0</v>
      </c>
      <c r="R182" s="346">
        <v>0</v>
      </c>
      <c r="S182" s="346">
        <v>0</v>
      </c>
      <c r="T182" s="346">
        <v>0</v>
      </c>
      <c r="U182" s="346">
        <v>0</v>
      </c>
      <c r="V182" s="346">
        <v>0</v>
      </c>
      <c r="W182" s="346">
        <v>0</v>
      </c>
      <c r="X182" s="346"/>
      <c r="Y182" s="346"/>
      <c r="Z182" s="346">
        <v>0</v>
      </c>
      <c r="AA182" s="346">
        <v>0</v>
      </c>
      <c r="AB182" s="346"/>
      <c r="AC182" s="346"/>
      <c r="AD182" s="346">
        <v>0</v>
      </c>
      <c r="AE182" s="346">
        <v>0</v>
      </c>
      <c r="AF182" s="538">
        <v>50000000</v>
      </c>
      <c r="AG182" s="366"/>
      <c r="AH182" s="346">
        <v>0</v>
      </c>
      <c r="AI182" s="348"/>
      <c r="AJ182" s="348">
        <v>0</v>
      </c>
      <c r="AK182" s="346">
        <f>Q182+R182+S182+T182+U182+V182+W182+X182+Y182+Z182+AA182+AB182+AC182+AD182+AE182+AF182+AG182+AH182+AI182+AJ182</f>
        <v>50000000</v>
      </c>
    </row>
    <row r="183" spans="1:37" ht="54.75" customHeight="1" x14ac:dyDescent="0.2">
      <c r="A183" s="23"/>
      <c r="B183" s="23"/>
      <c r="C183" s="732"/>
      <c r="D183" s="735"/>
      <c r="E183" s="732"/>
      <c r="F183" s="732"/>
      <c r="G183" s="150"/>
      <c r="H183" s="648">
        <v>252</v>
      </c>
      <c r="I183" s="21" t="s">
        <v>225</v>
      </c>
      <c r="J183" s="18">
        <v>1</v>
      </c>
      <c r="K183" s="623">
        <v>2</v>
      </c>
      <c r="L183" s="744"/>
      <c r="M183" s="738"/>
      <c r="N183" s="732"/>
      <c r="O183" s="735"/>
      <c r="P183" s="132" t="s">
        <v>54</v>
      </c>
      <c r="Q183" s="346">
        <v>0</v>
      </c>
      <c r="R183" s="346">
        <v>0</v>
      </c>
      <c r="S183" s="346">
        <v>0</v>
      </c>
      <c r="T183" s="346">
        <v>0</v>
      </c>
      <c r="U183" s="346">
        <v>0</v>
      </c>
      <c r="V183" s="346">
        <v>0</v>
      </c>
      <c r="W183" s="346">
        <v>0</v>
      </c>
      <c r="X183" s="346">
        <v>0</v>
      </c>
      <c r="Y183" s="346">
        <v>0</v>
      </c>
      <c r="Z183" s="346">
        <v>0</v>
      </c>
      <c r="AA183" s="346">
        <v>0</v>
      </c>
      <c r="AB183" s="346">
        <v>0</v>
      </c>
      <c r="AC183" s="346">
        <v>0</v>
      </c>
      <c r="AD183" s="346">
        <v>0</v>
      </c>
      <c r="AE183" s="346">
        <v>0</v>
      </c>
      <c r="AF183" s="540">
        <f>25000000-6500000</f>
        <v>18500000</v>
      </c>
      <c r="AG183" s="346">
        <v>0</v>
      </c>
      <c r="AH183" s="346">
        <v>0</v>
      </c>
      <c r="AI183" s="346"/>
      <c r="AJ183" s="346">
        <v>0</v>
      </c>
      <c r="AK183" s="346">
        <f>Q183+R183+S183+T183+U183+V183+W183+X183+Y183+Z183+AA183+AB183+AC183+AD183+AE183+AF183+AG183+AH183+AI183+AJ183</f>
        <v>18500000</v>
      </c>
    </row>
    <row r="184" spans="1:37" ht="54.75" customHeight="1" x14ac:dyDescent="0.2">
      <c r="A184" s="23" t="s">
        <v>226</v>
      </c>
      <c r="B184" s="23"/>
      <c r="C184" s="732"/>
      <c r="D184" s="735"/>
      <c r="E184" s="732"/>
      <c r="F184" s="732"/>
      <c r="G184" s="23"/>
      <c r="H184" s="648">
        <v>253</v>
      </c>
      <c r="I184" s="665" t="s">
        <v>227</v>
      </c>
      <c r="J184" s="18">
        <v>4</v>
      </c>
      <c r="K184" s="632">
        <v>0.25</v>
      </c>
      <c r="L184" s="744"/>
      <c r="M184" s="738"/>
      <c r="N184" s="732"/>
      <c r="O184" s="735"/>
      <c r="P184" s="132" t="s">
        <v>54</v>
      </c>
      <c r="Q184" s="346">
        <v>0</v>
      </c>
      <c r="R184" s="346">
        <v>0</v>
      </c>
      <c r="S184" s="346">
        <v>0</v>
      </c>
      <c r="T184" s="346">
        <v>0</v>
      </c>
      <c r="U184" s="346">
        <v>0</v>
      </c>
      <c r="V184" s="346">
        <v>0</v>
      </c>
      <c r="W184" s="346">
        <v>0</v>
      </c>
      <c r="X184" s="346">
        <v>0</v>
      </c>
      <c r="Y184" s="346">
        <v>0</v>
      </c>
      <c r="Z184" s="346">
        <v>0</v>
      </c>
      <c r="AA184" s="346">
        <v>0</v>
      </c>
      <c r="AB184" s="346">
        <v>0</v>
      </c>
      <c r="AC184" s="346">
        <v>0</v>
      </c>
      <c r="AD184" s="346">
        <v>0</v>
      </c>
      <c r="AE184" s="346">
        <v>0</v>
      </c>
      <c r="AF184" s="346">
        <v>0</v>
      </c>
      <c r="AG184" s="346">
        <v>0</v>
      </c>
      <c r="AH184" s="346">
        <v>0</v>
      </c>
      <c r="AI184" s="346"/>
      <c r="AJ184" s="346">
        <v>0</v>
      </c>
      <c r="AK184" s="346">
        <f>Q184+R184+S184+T184+U184+V184+W184+X184+Y184+Z184+AA184+AB184+AC184+AD184+AE184+AF184+AG184+AH184+AI184+AJ184</f>
        <v>0</v>
      </c>
    </row>
    <row r="185" spans="1:37" ht="87.75" customHeight="1" x14ac:dyDescent="0.2">
      <c r="A185" s="23" t="s">
        <v>226</v>
      </c>
      <c r="B185" s="23"/>
      <c r="C185" s="732"/>
      <c r="D185" s="735"/>
      <c r="E185" s="732"/>
      <c r="F185" s="732"/>
      <c r="G185" s="65"/>
      <c r="H185" s="648">
        <v>254</v>
      </c>
      <c r="I185" s="21" t="s">
        <v>228</v>
      </c>
      <c r="J185" s="18">
        <v>0</v>
      </c>
      <c r="K185" s="623">
        <v>1</v>
      </c>
      <c r="L185" s="745"/>
      <c r="M185" s="739"/>
      <c r="N185" s="733"/>
      <c r="O185" s="736"/>
      <c r="P185" s="132" t="s">
        <v>41</v>
      </c>
      <c r="Q185" s="346">
        <v>0</v>
      </c>
      <c r="R185" s="346">
        <v>0</v>
      </c>
      <c r="S185" s="346">
        <v>0</v>
      </c>
      <c r="T185" s="346">
        <v>0</v>
      </c>
      <c r="U185" s="346">
        <v>0</v>
      </c>
      <c r="V185" s="346">
        <v>0</v>
      </c>
      <c r="W185" s="346">
        <v>0</v>
      </c>
      <c r="X185" s="346"/>
      <c r="Y185" s="346"/>
      <c r="Z185" s="346">
        <v>0</v>
      </c>
      <c r="AA185" s="346">
        <v>0</v>
      </c>
      <c r="AB185" s="346"/>
      <c r="AC185" s="346"/>
      <c r="AD185" s="346">
        <v>0</v>
      </c>
      <c r="AE185" s="346">
        <v>0</v>
      </c>
      <c r="AF185" s="360">
        <v>30000000</v>
      </c>
      <c r="AG185" s="360"/>
      <c r="AH185" s="346">
        <v>0</v>
      </c>
      <c r="AI185" s="346"/>
      <c r="AJ185" s="346">
        <v>0</v>
      </c>
      <c r="AK185" s="346">
        <f>Q185+R185+S185+T185+U185+V185+W185+X185+Y185+Z185+AA185+AB185+AC185+AD185+AE185+AF185+AG185+AH185+AI185+AJ185</f>
        <v>30000000</v>
      </c>
    </row>
    <row r="186" spans="1:37" ht="30" customHeight="1" x14ac:dyDescent="0.2">
      <c r="A186" s="23"/>
      <c r="B186" s="23"/>
      <c r="C186" s="649"/>
      <c r="D186" s="644"/>
      <c r="E186" s="649"/>
      <c r="F186" s="649"/>
      <c r="G186" s="66"/>
      <c r="H186" s="67"/>
      <c r="I186" s="151"/>
      <c r="J186" s="32"/>
      <c r="K186" s="32"/>
      <c r="L186" s="32"/>
      <c r="M186" s="151"/>
      <c r="N186" s="31"/>
      <c r="O186" s="30"/>
      <c r="P186" s="31"/>
      <c r="Q186" s="355">
        <f t="shared" ref="Q186:AJ186" si="41">SUM(Q181:Q185)</f>
        <v>0</v>
      </c>
      <c r="R186" s="355">
        <f t="shared" si="41"/>
        <v>0</v>
      </c>
      <c r="S186" s="355">
        <f t="shared" si="41"/>
        <v>0</v>
      </c>
      <c r="T186" s="355">
        <f t="shared" si="41"/>
        <v>0</v>
      </c>
      <c r="U186" s="355">
        <f t="shared" si="41"/>
        <v>0</v>
      </c>
      <c r="V186" s="355">
        <f t="shared" si="41"/>
        <v>0</v>
      </c>
      <c r="W186" s="355">
        <f t="shared" si="41"/>
        <v>0</v>
      </c>
      <c r="X186" s="355">
        <f t="shared" si="41"/>
        <v>0</v>
      </c>
      <c r="Y186" s="355">
        <f t="shared" si="41"/>
        <v>0</v>
      </c>
      <c r="Z186" s="355">
        <f t="shared" si="41"/>
        <v>0</v>
      </c>
      <c r="AA186" s="355">
        <f t="shared" si="41"/>
        <v>0</v>
      </c>
      <c r="AB186" s="355">
        <f t="shared" si="41"/>
        <v>0</v>
      </c>
      <c r="AC186" s="355">
        <f t="shared" si="41"/>
        <v>0</v>
      </c>
      <c r="AD186" s="355">
        <f t="shared" si="41"/>
        <v>0</v>
      </c>
      <c r="AE186" s="355">
        <f t="shared" si="41"/>
        <v>0</v>
      </c>
      <c r="AF186" s="355">
        <f t="shared" si="41"/>
        <v>463000000</v>
      </c>
      <c r="AG186" s="355">
        <f t="shared" si="41"/>
        <v>0</v>
      </c>
      <c r="AH186" s="355">
        <f t="shared" si="41"/>
        <v>0</v>
      </c>
      <c r="AI186" s="355">
        <f t="shared" si="41"/>
        <v>0</v>
      </c>
      <c r="AJ186" s="355">
        <f t="shared" si="41"/>
        <v>0</v>
      </c>
      <c r="AK186" s="355">
        <f>SUM(AK181:AK185)</f>
        <v>463000000</v>
      </c>
    </row>
    <row r="187" spans="1:37" ht="30" customHeight="1" x14ac:dyDescent="0.2">
      <c r="A187" s="23"/>
      <c r="B187" s="23"/>
      <c r="C187" s="116"/>
      <c r="D187" s="44"/>
      <c r="E187" s="116"/>
      <c r="F187" s="116"/>
      <c r="G187" s="74"/>
      <c r="H187" s="345"/>
      <c r="I187" s="62"/>
      <c r="J187" s="45"/>
      <c r="K187" s="45"/>
      <c r="L187" s="45"/>
      <c r="M187" s="62"/>
      <c r="N187" s="116"/>
      <c r="O187" s="44"/>
      <c r="P187" s="116"/>
      <c r="Q187" s="350"/>
      <c r="R187" s="351"/>
      <c r="S187" s="350"/>
      <c r="T187" s="350"/>
      <c r="U187" s="350"/>
      <c r="V187" s="350"/>
      <c r="W187" s="350"/>
      <c r="X187" s="350"/>
      <c r="Y187" s="350"/>
      <c r="Z187" s="350"/>
      <c r="AA187" s="350"/>
      <c r="AB187" s="350"/>
      <c r="AC187" s="350"/>
      <c r="AD187" s="350"/>
      <c r="AE187" s="350"/>
      <c r="AF187" s="352"/>
      <c r="AG187" s="353"/>
      <c r="AH187" s="350"/>
      <c r="AI187" s="350"/>
      <c r="AJ187" s="351"/>
      <c r="AK187" s="350"/>
    </row>
    <row r="188" spans="1:37" ht="30" customHeight="1" x14ac:dyDescent="0.2">
      <c r="A188" s="23"/>
      <c r="B188" s="23"/>
      <c r="C188" s="648"/>
      <c r="D188" s="642"/>
      <c r="E188" s="648"/>
      <c r="F188" s="648"/>
      <c r="G188" s="50">
        <v>86</v>
      </c>
      <c r="H188" s="52" t="s">
        <v>229</v>
      </c>
      <c r="I188" s="52"/>
      <c r="J188" s="52"/>
      <c r="K188" s="52"/>
      <c r="L188" s="52"/>
      <c r="M188" s="581"/>
      <c r="N188" s="136"/>
      <c r="O188" s="52"/>
      <c r="P188" s="52"/>
      <c r="Q188" s="231"/>
      <c r="R188" s="231"/>
      <c r="S188" s="231"/>
      <c r="T188" s="231"/>
      <c r="U188" s="231"/>
      <c r="V188" s="231"/>
      <c r="W188" s="231"/>
      <c r="X188" s="231"/>
      <c r="Y188" s="231"/>
      <c r="Z188" s="231"/>
      <c r="AA188" s="231"/>
      <c r="AB188" s="231"/>
      <c r="AC188" s="231"/>
      <c r="AD188" s="231"/>
      <c r="AE188" s="231"/>
      <c r="AF188" s="359"/>
      <c r="AG188" s="231"/>
      <c r="AH188" s="231"/>
      <c r="AI188" s="231"/>
      <c r="AJ188" s="231"/>
      <c r="AK188" s="233"/>
    </row>
    <row r="189" spans="1:37" ht="79.5" customHeight="1" x14ac:dyDescent="0.2">
      <c r="A189" s="23"/>
      <c r="B189" s="23"/>
      <c r="C189" s="638">
        <v>37</v>
      </c>
      <c r="D189" s="643" t="s">
        <v>217</v>
      </c>
      <c r="E189" s="638">
        <v>54.61</v>
      </c>
      <c r="F189" s="638">
        <v>60</v>
      </c>
      <c r="G189" s="17"/>
      <c r="H189" s="673">
        <v>255</v>
      </c>
      <c r="I189" s="665" t="s">
        <v>230</v>
      </c>
      <c r="J189" s="18">
        <v>12</v>
      </c>
      <c r="K189" s="19">
        <v>12</v>
      </c>
      <c r="L189" s="20">
        <v>2017003630015</v>
      </c>
      <c r="M189" s="21" t="s">
        <v>69</v>
      </c>
      <c r="N189" s="673" t="s">
        <v>231</v>
      </c>
      <c r="O189" s="665" t="s">
        <v>873</v>
      </c>
      <c r="P189" s="132" t="s">
        <v>41</v>
      </c>
      <c r="Q189" s="346">
        <v>0</v>
      </c>
      <c r="R189" s="346">
        <v>0</v>
      </c>
      <c r="S189" s="346">
        <v>0</v>
      </c>
      <c r="T189" s="346">
        <v>0</v>
      </c>
      <c r="U189" s="346">
        <v>0</v>
      </c>
      <c r="V189" s="346">
        <v>0</v>
      </c>
      <c r="W189" s="346">
        <v>0</v>
      </c>
      <c r="X189" s="346"/>
      <c r="Y189" s="346"/>
      <c r="Z189" s="346">
        <v>0</v>
      </c>
      <c r="AA189" s="346">
        <v>0</v>
      </c>
      <c r="AB189" s="346"/>
      <c r="AC189" s="346"/>
      <c r="AD189" s="346">
        <v>0</v>
      </c>
      <c r="AE189" s="346">
        <v>0</v>
      </c>
      <c r="AF189" s="349">
        <f>100000000+70000000</f>
        <v>170000000</v>
      </c>
      <c r="AG189" s="349"/>
      <c r="AH189" s="346">
        <v>0</v>
      </c>
      <c r="AI189" s="348"/>
      <c r="AJ189" s="348">
        <v>0</v>
      </c>
      <c r="AK189" s="346">
        <f>Q189+R189+S189+T189+U189+V189+W189+X189+Y189+Z189+AA189+AB189+AC189+AD189+AE189+AF189+AG189+AH189+AI189+AJ189</f>
        <v>170000000</v>
      </c>
    </row>
    <row r="190" spans="1:37" s="557" customFormat="1" ht="30" customHeight="1" x14ac:dyDescent="0.25">
      <c r="A190" s="23"/>
      <c r="B190" s="23"/>
      <c r="C190" s="638"/>
      <c r="D190" s="643"/>
      <c r="E190" s="638"/>
      <c r="F190" s="638"/>
      <c r="G190" s="66"/>
      <c r="H190" s="67"/>
      <c r="I190" s="66"/>
      <c r="J190" s="304"/>
      <c r="K190" s="304"/>
      <c r="L190" s="304"/>
      <c r="M190" s="306"/>
      <c r="N190" s="67"/>
      <c r="O190" s="66"/>
      <c r="P190" s="67"/>
      <c r="Q190" s="393">
        <f t="shared" ref="Q190:AK190" si="42">SUM(Q189:Q189)</f>
        <v>0</v>
      </c>
      <c r="R190" s="393">
        <f t="shared" si="42"/>
        <v>0</v>
      </c>
      <c r="S190" s="393">
        <f t="shared" si="42"/>
        <v>0</v>
      </c>
      <c r="T190" s="393">
        <f t="shared" si="42"/>
        <v>0</v>
      </c>
      <c r="U190" s="393">
        <f t="shared" si="42"/>
        <v>0</v>
      </c>
      <c r="V190" s="393">
        <f t="shared" si="42"/>
        <v>0</v>
      </c>
      <c r="W190" s="393">
        <f t="shared" si="42"/>
        <v>0</v>
      </c>
      <c r="X190" s="393">
        <f t="shared" si="42"/>
        <v>0</v>
      </c>
      <c r="Y190" s="393">
        <f t="shared" si="42"/>
        <v>0</v>
      </c>
      <c r="Z190" s="393">
        <f t="shared" si="42"/>
        <v>0</v>
      </c>
      <c r="AA190" s="393">
        <f t="shared" si="42"/>
        <v>0</v>
      </c>
      <c r="AB190" s="393">
        <f t="shared" si="42"/>
        <v>0</v>
      </c>
      <c r="AC190" s="393">
        <f t="shared" si="42"/>
        <v>0</v>
      </c>
      <c r="AD190" s="393">
        <f t="shared" si="42"/>
        <v>0</v>
      </c>
      <c r="AE190" s="393">
        <f t="shared" si="42"/>
        <v>0</v>
      </c>
      <c r="AF190" s="393">
        <f t="shared" si="42"/>
        <v>170000000</v>
      </c>
      <c r="AG190" s="393">
        <f t="shared" si="42"/>
        <v>0</v>
      </c>
      <c r="AH190" s="393">
        <f t="shared" si="42"/>
        <v>0</v>
      </c>
      <c r="AI190" s="393">
        <f t="shared" si="42"/>
        <v>0</v>
      </c>
      <c r="AJ190" s="393">
        <f t="shared" si="42"/>
        <v>0</v>
      </c>
      <c r="AK190" s="393">
        <f t="shared" si="42"/>
        <v>170000000</v>
      </c>
    </row>
    <row r="191" spans="1:37" s="558" customFormat="1" ht="30" customHeight="1" x14ac:dyDescent="0.25">
      <c r="A191" s="513"/>
      <c r="B191" s="689"/>
      <c r="C191" s="690"/>
      <c r="D191" s="689"/>
      <c r="E191" s="690"/>
      <c r="F191" s="690"/>
      <c r="G191" s="689"/>
      <c r="H191" s="35"/>
      <c r="I191" s="34"/>
      <c r="J191" s="36"/>
      <c r="K191" s="36"/>
      <c r="L191" s="36"/>
      <c r="M191" s="303"/>
      <c r="N191" s="35"/>
      <c r="O191" s="34"/>
      <c r="P191" s="35"/>
      <c r="Q191" s="361">
        <f t="shared" ref="Q191:AK191" si="43">Q190+Q186</f>
        <v>0</v>
      </c>
      <c r="R191" s="361">
        <f t="shared" si="43"/>
        <v>0</v>
      </c>
      <c r="S191" s="361">
        <f t="shared" si="43"/>
        <v>0</v>
      </c>
      <c r="T191" s="361">
        <f t="shared" si="43"/>
        <v>0</v>
      </c>
      <c r="U191" s="361">
        <f t="shared" si="43"/>
        <v>0</v>
      </c>
      <c r="V191" s="361">
        <f t="shared" si="43"/>
        <v>0</v>
      </c>
      <c r="W191" s="361">
        <f t="shared" si="43"/>
        <v>0</v>
      </c>
      <c r="X191" s="361">
        <f t="shared" si="43"/>
        <v>0</v>
      </c>
      <c r="Y191" s="361">
        <f t="shared" si="43"/>
        <v>0</v>
      </c>
      <c r="Z191" s="361">
        <f t="shared" si="43"/>
        <v>0</v>
      </c>
      <c r="AA191" s="361">
        <f t="shared" si="43"/>
        <v>0</v>
      </c>
      <c r="AB191" s="361">
        <f t="shared" si="43"/>
        <v>0</v>
      </c>
      <c r="AC191" s="361">
        <f t="shared" si="43"/>
        <v>0</v>
      </c>
      <c r="AD191" s="361">
        <f t="shared" si="43"/>
        <v>0</v>
      </c>
      <c r="AE191" s="361">
        <f t="shared" si="43"/>
        <v>0</v>
      </c>
      <c r="AF191" s="361">
        <f t="shared" si="43"/>
        <v>633000000</v>
      </c>
      <c r="AG191" s="361">
        <f t="shared" si="43"/>
        <v>0</v>
      </c>
      <c r="AH191" s="361">
        <f t="shared" si="43"/>
        <v>0</v>
      </c>
      <c r="AI191" s="361">
        <f t="shared" si="43"/>
        <v>0</v>
      </c>
      <c r="AJ191" s="361">
        <f t="shared" si="43"/>
        <v>0</v>
      </c>
      <c r="AK191" s="361">
        <f t="shared" si="43"/>
        <v>633000000</v>
      </c>
    </row>
    <row r="192" spans="1:37" ht="30" customHeight="1" x14ac:dyDescent="0.2">
      <c r="A192" s="506"/>
      <c r="B192" s="506"/>
      <c r="C192" s="507"/>
      <c r="D192" s="506"/>
      <c r="E192" s="507"/>
      <c r="F192" s="507"/>
      <c r="G192" s="506"/>
      <c r="H192" s="507"/>
      <c r="I192" s="506"/>
      <c r="J192" s="508"/>
      <c r="K192" s="508"/>
      <c r="L192" s="508"/>
      <c r="M192" s="589"/>
      <c r="N192" s="507"/>
      <c r="O192" s="506"/>
      <c r="P192" s="507"/>
      <c r="Q192" s="509">
        <f t="shared" ref="Q192:AJ192" si="44">Q191+Q177</f>
        <v>0</v>
      </c>
      <c r="R192" s="509">
        <f t="shared" si="44"/>
        <v>0</v>
      </c>
      <c r="S192" s="509">
        <f t="shared" si="44"/>
        <v>0</v>
      </c>
      <c r="T192" s="509">
        <f t="shared" si="44"/>
        <v>0</v>
      </c>
      <c r="U192" s="509">
        <f t="shared" si="44"/>
        <v>0</v>
      </c>
      <c r="V192" s="509">
        <f t="shared" si="44"/>
        <v>0</v>
      </c>
      <c r="W192" s="509">
        <f t="shared" si="44"/>
        <v>0</v>
      </c>
      <c r="X192" s="509">
        <f t="shared" si="44"/>
        <v>0</v>
      </c>
      <c r="Y192" s="509">
        <f t="shared" si="44"/>
        <v>0</v>
      </c>
      <c r="Z192" s="509">
        <f t="shared" si="44"/>
        <v>0</v>
      </c>
      <c r="AA192" s="509">
        <f t="shared" si="44"/>
        <v>0</v>
      </c>
      <c r="AB192" s="509">
        <f t="shared" si="44"/>
        <v>0</v>
      </c>
      <c r="AC192" s="509">
        <f t="shared" si="44"/>
        <v>0</v>
      </c>
      <c r="AD192" s="509">
        <f t="shared" si="44"/>
        <v>0</v>
      </c>
      <c r="AE192" s="509">
        <f t="shared" si="44"/>
        <v>0</v>
      </c>
      <c r="AF192" s="509">
        <f t="shared" si="44"/>
        <v>683000000</v>
      </c>
      <c r="AG192" s="509">
        <f t="shared" si="44"/>
        <v>0</v>
      </c>
      <c r="AH192" s="509">
        <f t="shared" si="44"/>
        <v>0</v>
      </c>
      <c r="AI192" s="509">
        <f t="shared" si="44"/>
        <v>0</v>
      </c>
      <c r="AJ192" s="509">
        <f t="shared" si="44"/>
        <v>0</v>
      </c>
      <c r="AK192" s="509">
        <f>AK191+AK177</f>
        <v>683000000</v>
      </c>
    </row>
    <row r="193" spans="1:37" ht="30" customHeight="1" x14ac:dyDescent="0.2">
      <c r="A193" s="40"/>
      <c r="B193" s="40"/>
      <c r="C193" s="41"/>
      <c r="D193" s="40"/>
      <c r="E193" s="41"/>
      <c r="F193" s="41"/>
      <c r="G193" s="40"/>
      <c r="H193" s="41"/>
      <c r="I193" s="40"/>
      <c r="J193" s="42"/>
      <c r="K193" s="42"/>
      <c r="L193" s="42"/>
      <c r="M193" s="285"/>
      <c r="N193" s="41"/>
      <c r="O193" s="40"/>
      <c r="P193" s="41"/>
      <c r="Q193" s="368">
        <f t="shared" ref="Q193:AJ193" si="45">Q192+Q170</f>
        <v>0</v>
      </c>
      <c r="R193" s="368">
        <f t="shared" si="45"/>
        <v>0</v>
      </c>
      <c r="S193" s="368">
        <f t="shared" si="45"/>
        <v>0</v>
      </c>
      <c r="T193" s="368">
        <f t="shared" si="45"/>
        <v>6614956012.3800001</v>
      </c>
      <c r="U193" s="368">
        <f t="shared" si="45"/>
        <v>0</v>
      </c>
      <c r="V193" s="368">
        <f t="shared" si="45"/>
        <v>0</v>
      </c>
      <c r="W193" s="368">
        <f t="shared" si="45"/>
        <v>0</v>
      </c>
      <c r="X193" s="368">
        <f t="shared" si="45"/>
        <v>0</v>
      </c>
      <c r="Y193" s="368">
        <f t="shared" si="45"/>
        <v>0</v>
      </c>
      <c r="Z193" s="368">
        <f t="shared" si="45"/>
        <v>0</v>
      </c>
      <c r="AA193" s="368">
        <f t="shared" si="45"/>
        <v>0</v>
      </c>
      <c r="AB193" s="368">
        <f t="shared" si="45"/>
        <v>0</v>
      </c>
      <c r="AC193" s="368">
        <f t="shared" si="45"/>
        <v>0</v>
      </c>
      <c r="AD193" s="368">
        <f t="shared" si="45"/>
        <v>0</v>
      </c>
      <c r="AE193" s="368">
        <f t="shared" si="45"/>
        <v>0</v>
      </c>
      <c r="AF193" s="368">
        <f t="shared" si="45"/>
        <v>2419560942</v>
      </c>
      <c r="AG193" s="368">
        <f t="shared" si="45"/>
        <v>0</v>
      </c>
      <c r="AH193" s="368">
        <f t="shared" si="45"/>
        <v>0</v>
      </c>
      <c r="AI193" s="368">
        <f t="shared" si="45"/>
        <v>0</v>
      </c>
      <c r="AJ193" s="368">
        <f t="shared" si="45"/>
        <v>0</v>
      </c>
      <c r="AK193" s="368">
        <f>AK192+AK170</f>
        <v>9034516954.3800011</v>
      </c>
    </row>
    <row r="194" spans="1:37" ht="30" customHeight="1" x14ac:dyDescent="0.2">
      <c r="A194" s="669"/>
      <c r="B194" s="74"/>
      <c r="C194" s="345"/>
      <c r="D194" s="74"/>
      <c r="E194" s="345"/>
      <c r="F194" s="345"/>
      <c r="G194" s="74"/>
      <c r="H194" s="345"/>
      <c r="I194" s="74"/>
      <c r="J194" s="87"/>
      <c r="K194" s="87"/>
      <c r="L194" s="87"/>
      <c r="M194" s="585"/>
      <c r="N194" s="345"/>
      <c r="O194" s="74"/>
      <c r="P194" s="345"/>
      <c r="Q194" s="522"/>
      <c r="R194" s="523"/>
      <c r="S194" s="522"/>
      <c r="T194" s="522"/>
      <c r="U194" s="522"/>
      <c r="V194" s="522"/>
      <c r="W194" s="522"/>
      <c r="X194" s="522"/>
      <c r="Y194" s="522"/>
      <c r="Z194" s="522"/>
      <c r="AA194" s="522"/>
      <c r="AB194" s="523"/>
      <c r="AC194" s="523"/>
      <c r="AD194" s="522"/>
      <c r="AE194" s="522"/>
      <c r="AF194" s="347"/>
      <c r="AG194" s="524"/>
      <c r="AH194" s="522"/>
      <c r="AI194" s="522"/>
      <c r="AJ194" s="523"/>
      <c r="AK194" s="522"/>
    </row>
    <row r="195" spans="1:37" ht="30" customHeight="1" x14ac:dyDescent="0.2">
      <c r="A195" s="88" t="s">
        <v>232</v>
      </c>
      <c r="B195" s="89"/>
      <c r="C195" s="90"/>
      <c r="D195" s="89"/>
      <c r="E195" s="89"/>
      <c r="F195" s="89"/>
      <c r="G195" s="89"/>
      <c r="H195" s="90"/>
      <c r="I195" s="89"/>
      <c r="J195" s="89"/>
      <c r="K195" s="89"/>
      <c r="L195" s="89"/>
      <c r="M195" s="583"/>
      <c r="N195" s="90"/>
      <c r="O195" s="89"/>
      <c r="P195" s="90"/>
      <c r="Q195" s="518"/>
      <c r="R195" s="518"/>
      <c r="S195" s="518"/>
      <c r="T195" s="518"/>
      <c r="U195" s="518"/>
      <c r="V195" s="518"/>
      <c r="W195" s="518"/>
      <c r="X195" s="518"/>
      <c r="Y195" s="518"/>
      <c r="Z195" s="518"/>
      <c r="AA195" s="518"/>
      <c r="AB195" s="518"/>
      <c r="AC195" s="518"/>
      <c r="AD195" s="518"/>
      <c r="AE195" s="518"/>
      <c r="AF195" s="525"/>
      <c r="AG195" s="520"/>
      <c r="AH195" s="518"/>
      <c r="AI195" s="518"/>
      <c r="AJ195" s="518"/>
      <c r="AK195" s="521" t="s">
        <v>56</v>
      </c>
    </row>
    <row r="196" spans="1:37" ht="30" customHeight="1" x14ac:dyDescent="0.2">
      <c r="A196" s="679">
        <v>3</v>
      </c>
      <c r="B196" s="7" t="s">
        <v>233</v>
      </c>
      <c r="C196" s="8"/>
      <c r="D196" s="7"/>
      <c r="E196" s="7"/>
      <c r="F196" s="7"/>
      <c r="G196" s="7"/>
      <c r="H196" s="8"/>
      <c r="I196" s="7"/>
      <c r="J196" s="7"/>
      <c r="K196" s="7"/>
      <c r="L196" s="7"/>
      <c r="M196" s="578"/>
      <c r="N196" s="8"/>
      <c r="O196" s="7"/>
      <c r="P196" s="7"/>
      <c r="Q196" s="376"/>
      <c r="R196" s="376"/>
      <c r="S196" s="376"/>
      <c r="T196" s="376"/>
      <c r="U196" s="376"/>
      <c r="V196" s="376"/>
      <c r="W196" s="376"/>
      <c r="X196" s="376"/>
      <c r="Y196" s="376"/>
      <c r="Z196" s="376"/>
      <c r="AA196" s="376"/>
      <c r="AB196" s="376"/>
      <c r="AC196" s="376"/>
      <c r="AD196" s="376"/>
      <c r="AE196" s="376"/>
      <c r="AF196" s="377"/>
      <c r="AG196" s="376"/>
      <c r="AH196" s="376"/>
      <c r="AI196" s="376"/>
      <c r="AJ196" s="376"/>
      <c r="AK196" s="378"/>
    </row>
    <row r="197" spans="1:37" ht="30" customHeight="1" x14ac:dyDescent="0.2">
      <c r="A197" s="48"/>
      <c r="B197" s="93">
        <v>9</v>
      </c>
      <c r="C197" s="11" t="s">
        <v>234</v>
      </c>
      <c r="D197" s="12"/>
      <c r="E197" s="12"/>
      <c r="F197" s="12"/>
      <c r="G197" s="12"/>
      <c r="H197" s="13"/>
      <c r="I197" s="12"/>
      <c r="J197" s="12"/>
      <c r="K197" s="12"/>
      <c r="L197" s="12"/>
      <c r="M197" s="579"/>
      <c r="N197" s="13"/>
      <c r="O197" s="12"/>
      <c r="P197" s="12"/>
      <c r="Q197" s="357"/>
      <c r="R197" s="357"/>
      <c r="S197" s="357"/>
      <c r="T197" s="357"/>
      <c r="U197" s="357"/>
      <c r="V197" s="357"/>
      <c r="W197" s="357"/>
      <c r="X197" s="357"/>
      <c r="Y197" s="357"/>
      <c r="Z197" s="357"/>
      <c r="AA197" s="357"/>
      <c r="AB197" s="357"/>
      <c r="AC197" s="357"/>
      <c r="AD197" s="357"/>
      <c r="AE197" s="357"/>
      <c r="AF197" s="358"/>
      <c r="AG197" s="357"/>
      <c r="AH197" s="357"/>
      <c r="AI197" s="357"/>
      <c r="AJ197" s="357"/>
      <c r="AK197" s="362"/>
    </row>
    <row r="198" spans="1:37" ht="32.25" customHeight="1" x14ac:dyDescent="0.2">
      <c r="A198" s="16"/>
      <c r="B198" s="48"/>
      <c r="C198" s="3"/>
      <c r="D198" s="48"/>
      <c r="E198" s="48"/>
      <c r="F198" s="48"/>
      <c r="G198" s="50">
        <v>29</v>
      </c>
      <c r="H198" s="52" t="s">
        <v>235</v>
      </c>
      <c r="I198" s="52"/>
      <c r="J198" s="52"/>
      <c r="K198" s="52"/>
      <c r="L198" s="52"/>
      <c r="M198" s="581"/>
      <c r="N198" s="136"/>
      <c r="O198" s="52"/>
      <c r="P198" s="52"/>
      <c r="Q198" s="231" t="s">
        <v>56</v>
      </c>
      <c r="R198" s="231"/>
      <c r="S198" s="231"/>
      <c r="T198" s="231"/>
      <c r="U198" s="231"/>
      <c r="V198" s="231"/>
      <c r="W198" s="231"/>
      <c r="X198" s="231"/>
      <c r="Y198" s="231"/>
      <c r="Z198" s="231"/>
      <c r="AA198" s="231"/>
      <c r="AB198" s="231"/>
      <c r="AC198" s="231"/>
      <c r="AD198" s="231"/>
      <c r="AE198" s="231"/>
      <c r="AF198" s="359"/>
      <c r="AG198" s="231"/>
      <c r="AH198" s="231"/>
      <c r="AI198" s="231"/>
      <c r="AJ198" s="231"/>
      <c r="AK198" s="233"/>
    </row>
    <row r="199" spans="1:37" ht="208.5" customHeight="1" x14ac:dyDescent="0.2">
      <c r="A199" s="16"/>
      <c r="B199" s="16"/>
      <c r="C199" s="649" t="s">
        <v>928</v>
      </c>
      <c r="D199" s="644" t="s">
        <v>929</v>
      </c>
      <c r="E199" s="344" t="s">
        <v>237</v>
      </c>
      <c r="F199" s="649" t="s">
        <v>238</v>
      </c>
      <c r="G199" s="23"/>
      <c r="H199" s="649">
        <v>114</v>
      </c>
      <c r="I199" s="644" t="s">
        <v>239</v>
      </c>
      <c r="J199" s="641" t="s">
        <v>32</v>
      </c>
      <c r="K199" s="153">
        <v>30</v>
      </c>
      <c r="L199" s="20">
        <v>2017003630006</v>
      </c>
      <c r="M199" s="644" t="s">
        <v>240</v>
      </c>
      <c r="N199" s="673" t="s">
        <v>241</v>
      </c>
      <c r="O199" s="643" t="s">
        <v>874</v>
      </c>
      <c r="P199" s="649" t="s">
        <v>41</v>
      </c>
      <c r="Q199" s="360">
        <f>169700000+890857735</f>
        <v>1060557735</v>
      </c>
      <c r="R199" s="370"/>
      <c r="S199" s="370"/>
      <c r="T199" s="370"/>
      <c r="U199" s="370"/>
      <c r="V199" s="370"/>
      <c r="W199" s="370"/>
      <c r="X199" s="370"/>
      <c r="Y199" s="370"/>
      <c r="Z199" s="370"/>
      <c r="AA199" s="370"/>
      <c r="AB199" s="370"/>
      <c r="AC199" s="370"/>
      <c r="AD199" s="370"/>
      <c r="AE199" s="370"/>
      <c r="AF199" s="395">
        <v>0</v>
      </c>
      <c r="AG199" s="394"/>
      <c r="AH199" s="370"/>
      <c r="AI199" s="396"/>
      <c r="AJ199" s="396"/>
      <c r="AK199" s="346">
        <f>Q199+R199+S199+T199+U199+V199+W199+X199+Y199+Z199+AA199+AB199+AC199+AD199+AE199+AF199+AG199+AH199+AI199+AJ199</f>
        <v>1060557735</v>
      </c>
    </row>
    <row r="200" spans="1:37" ht="78.75" customHeight="1" x14ac:dyDescent="0.2">
      <c r="A200" s="16"/>
      <c r="B200" s="16"/>
      <c r="C200" s="731" t="s">
        <v>236</v>
      </c>
      <c r="D200" s="737" t="s">
        <v>930</v>
      </c>
      <c r="E200" s="755" t="s">
        <v>242</v>
      </c>
      <c r="F200" s="731" t="s">
        <v>243</v>
      </c>
      <c r="G200" s="23"/>
      <c r="H200" s="649">
        <v>114</v>
      </c>
      <c r="I200" s="644" t="s">
        <v>239</v>
      </c>
      <c r="J200" s="641" t="s">
        <v>32</v>
      </c>
      <c r="K200" s="662">
        <v>30</v>
      </c>
      <c r="L200" s="743">
        <v>2017003630007</v>
      </c>
      <c r="M200" s="734" t="s">
        <v>240</v>
      </c>
      <c r="N200" s="732" t="s">
        <v>244</v>
      </c>
      <c r="O200" s="734" t="s">
        <v>245</v>
      </c>
      <c r="P200" s="649" t="s">
        <v>41</v>
      </c>
      <c r="Q200" s="397">
        <v>0</v>
      </c>
      <c r="R200" s="371">
        <v>0</v>
      </c>
      <c r="S200" s="371">
        <v>0</v>
      </c>
      <c r="T200" s="371">
        <v>0</v>
      </c>
      <c r="U200" s="371">
        <v>0</v>
      </c>
      <c r="V200" s="371">
        <v>0</v>
      </c>
      <c r="W200" s="371">
        <v>0</v>
      </c>
      <c r="X200" s="371"/>
      <c r="Y200" s="371"/>
      <c r="Z200" s="371">
        <v>0</v>
      </c>
      <c r="AA200" s="371">
        <v>0</v>
      </c>
      <c r="AB200" s="371"/>
      <c r="AC200" s="371"/>
      <c r="AD200" s="371">
        <v>0</v>
      </c>
      <c r="AE200" s="371">
        <v>0</v>
      </c>
      <c r="AF200" s="634">
        <f>920000000+530000000+47000000</f>
        <v>1497000000</v>
      </c>
      <c r="AG200" s="394"/>
      <c r="AH200" s="371">
        <v>0</v>
      </c>
      <c r="AI200" s="398"/>
      <c r="AJ200" s="398">
        <v>0</v>
      </c>
      <c r="AK200" s="346">
        <f>Q200+R200+S200+T200+U200+V200+W200+X200+Y200+Z200+AA200+AB200+AC200+AD200+AE200+AF200+AG200+AH200+AI200+AJ200</f>
        <v>1497000000</v>
      </c>
    </row>
    <row r="201" spans="1:37" ht="78.75" customHeight="1" x14ac:dyDescent="0.2">
      <c r="A201" s="16"/>
      <c r="B201" s="16"/>
      <c r="C201" s="732"/>
      <c r="D201" s="738"/>
      <c r="E201" s="756"/>
      <c r="F201" s="732"/>
      <c r="G201" s="23"/>
      <c r="H201" s="649">
        <v>115</v>
      </c>
      <c r="I201" s="665" t="s">
        <v>246</v>
      </c>
      <c r="J201" s="18">
        <v>0</v>
      </c>
      <c r="K201" s="329">
        <v>35</v>
      </c>
      <c r="L201" s="744"/>
      <c r="M201" s="735"/>
      <c r="N201" s="732"/>
      <c r="O201" s="735"/>
      <c r="P201" s="673" t="s">
        <v>54</v>
      </c>
      <c r="Q201" s="347">
        <f>848500000+590796102</f>
        <v>1439296102</v>
      </c>
      <c r="R201" s="346">
        <v>0</v>
      </c>
      <c r="S201" s="346">
        <v>0</v>
      </c>
      <c r="T201" s="346">
        <v>0</v>
      </c>
      <c r="U201" s="346">
        <v>0</v>
      </c>
      <c r="V201" s="346">
        <v>0</v>
      </c>
      <c r="W201" s="346">
        <v>0</v>
      </c>
      <c r="X201" s="346"/>
      <c r="Y201" s="346"/>
      <c r="Z201" s="346">
        <v>0</v>
      </c>
      <c r="AA201" s="346">
        <v>0</v>
      </c>
      <c r="AB201" s="346"/>
      <c r="AC201" s="346"/>
      <c r="AD201" s="346">
        <v>0</v>
      </c>
      <c r="AE201" s="346">
        <v>0</v>
      </c>
      <c r="AF201" s="347">
        <f>400000000-400000000</f>
        <v>0</v>
      </c>
      <c r="AG201" s="360"/>
      <c r="AH201" s="346">
        <v>0</v>
      </c>
      <c r="AI201" s="348"/>
      <c r="AJ201" s="348">
        <v>0</v>
      </c>
      <c r="AK201" s="346">
        <f>Q201+R201+S201+T201+U201+V201+W201+X201+Y201+Z201+AA201+AB201+AC201+AD201+AE201+AF201+AG201+AH201+AI201+AJ201</f>
        <v>1439296102</v>
      </c>
    </row>
    <row r="202" spans="1:37" ht="78.75" customHeight="1" x14ac:dyDescent="0.2">
      <c r="A202" s="16"/>
      <c r="B202" s="16"/>
      <c r="C202" s="732"/>
      <c r="D202" s="738"/>
      <c r="E202" s="756"/>
      <c r="F202" s="732"/>
      <c r="G202" s="65"/>
      <c r="H202" s="649">
        <v>116</v>
      </c>
      <c r="I202" s="665" t="s">
        <v>247</v>
      </c>
      <c r="J202" s="18" t="s">
        <v>32</v>
      </c>
      <c r="K202" s="330">
        <v>10</v>
      </c>
      <c r="L202" s="745"/>
      <c r="M202" s="736"/>
      <c r="N202" s="733"/>
      <c r="O202" s="736"/>
      <c r="P202" s="673" t="s">
        <v>54</v>
      </c>
      <c r="Q202" s="360">
        <f>169700000+124179245</f>
        <v>293879245</v>
      </c>
      <c r="R202" s="346">
        <v>0</v>
      </c>
      <c r="S202" s="346">
        <v>0</v>
      </c>
      <c r="T202" s="346">
        <v>0</v>
      </c>
      <c r="U202" s="346">
        <v>0</v>
      </c>
      <c r="V202" s="346">
        <v>0</v>
      </c>
      <c r="W202" s="346">
        <v>0</v>
      </c>
      <c r="X202" s="346"/>
      <c r="Y202" s="346"/>
      <c r="Z202" s="346">
        <v>0</v>
      </c>
      <c r="AA202" s="346">
        <v>0</v>
      </c>
      <c r="AB202" s="346"/>
      <c r="AC202" s="346"/>
      <c r="AD202" s="346">
        <v>0</v>
      </c>
      <c r="AE202" s="346">
        <v>0</v>
      </c>
      <c r="AF202" s="347">
        <f>50000000-50000000</f>
        <v>0</v>
      </c>
      <c r="AG202" s="360"/>
      <c r="AH202" s="346">
        <v>0</v>
      </c>
      <c r="AI202" s="348"/>
      <c r="AJ202" s="348">
        <v>0</v>
      </c>
      <c r="AK202" s="346">
        <f>Q202+R202+S202+T202+U202+V202+W202+X202+Y202+Z202+AA202+AB202+AC202+AD202+AE202+AF202+AG202+AH202+AI202+AJ202</f>
        <v>293879245</v>
      </c>
    </row>
    <row r="203" spans="1:37" ht="30" customHeight="1" x14ac:dyDescent="0.2">
      <c r="A203" s="16"/>
      <c r="B203" s="16"/>
      <c r="C203" s="649"/>
      <c r="D203" s="644"/>
      <c r="E203" s="649"/>
      <c r="F203" s="649"/>
      <c r="G203" s="30"/>
      <c r="H203" s="31"/>
      <c r="I203" s="30"/>
      <c r="J203" s="32"/>
      <c r="K203" s="154"/>
      <c r="L203" s="154"/>
      <c r="M203" s="30"/>
      <c r="N203" s="31"/>
      <c r="O203" s="30"/>
      <c r="P203" s="31"/>
      <c r="Q203" s="355">
        <f t="shared" ref="Q203:AK203" si="46">SUM(Q199:Q202)</f>
        <v>2793733082</v>
      </c>
      <c r="R203" s="355">
        <f t="shared" si="46"/>
        <v>0</v>
      </c>
      <c r="S203" s="355">
        <f t="shared" si="46"/>
        <v>0</v>
      </c>
      <c r="T203" s="355">
        <f t="shared" si="46"/>
        <v>0</v>
      </c>
      <c r="U203" s="355">
        <f t="shared" si="46"/>
        <v>0</v>
      </c>
      <c r="V203" s="355">
        <f t="shared" si="46"/>
        <v>0</v>
      </c>
      <c r="W203" s="355">
        <f t="shared" si="46"/>
        <v>0</v>
      </c>
      <c r="X203" s="355">
        <f t="shared" si="46"/>
        <v>0</v>
      </c>
      <c r="Y203" s="355">
        <f t="shared" si="46"/>
        <v>0</v>
      </c>
      <c r="Z203" s="355">
        <f t="shared" si="46"/>
        <v>0</v>
      </c>
      <c r="AA203" s="355">
        <f t="shared" si="46"/>
        <v>0</v>
      </c>
      <c r="AB203" s="355">
        <f t="shared" si="46"/>
        <v>0</v>
      </c>
      <c r="AC203" s="355">
        <f t="shared" si="46"/>
        <v>0</v>
      </c>
      <c r="AD203" s="355">
        <f t="shared" si="46"/>
        <v>0</v>
      </c>
      <c r="AE203" s="355">
        <f t="shared" si="46"/>
        <v>0</v>
      </c>
      <c r="AF203" s="355">
        <f t="shared" si="46"/>
        <v>1497000000</v>
      </c>
      <c r="AG203" s="355">
        <f t="shared" si="46"/>
        <v>0</v>
      </c>
      <c r="AH203" s="355">
        <f t="shared" si="46"/>
        <v>0</v>
      </c>
      <c r="AI203" s="355"/>
      <c r="AJ203" s="355"/>
      <c r="AK203" s="355">
        <f t="shared" si="46"/>
        <v>4290733082</v>
      </c>
    </row>
    <row r="204" spans="1:37" ht="30" customHeight="1" x14ac:dyDescent="0.2">
      <c r="A204" s="16"/>
      <c r="B204" s="16"/>
      <c r="C204" s="155"/>
      <c r="D204" s="156"/>
      <c r="E204" s="157"/>
      <c r="F204" s="157"/>
      <c r="G204" s="44"/>
      <c r="H204" s="116"/>
      <c r="I204" s="44"/>
      <c r="J204" s="45"/>
      <c r="K204" s="158"/>
      <c r="L204" s="158"/>
      <c r="M204" s="44"/>
      <c r="N204" s="116"/>
      <c r="O204" s="44"/>
      <c r="P204" s="116"/>
      <c r="Q204" s="350"/>
      <c r="R204" s="351"/>
      <c r="S204" s="350"/>
      <c r="T204" s="350"/>
      <c r="U204" s="350"/>
      <c r="V204" s="350"/>
      <c r="W204" s="350"/>
      <c r="X204" s="350"/>
      <c r="Y204" s="350"/>
      <c r="Z204" s="350"/>
      <c r="AA204" s="350"/>
      <c r="AB204" s="350"/>
      <c r="AC204" s="350"/>
      <c r="AD204" s="350"/>
      <c r="AE204" s="350"/>
      <c r="AF204" s="352"/>
      <c r="AG204" s="350"/>
      <c r="AH204" s="350"/>
      <c r="AI204" s="350"/>
      <c r="AJ204" s="351"/>
      <c r="AK204" s="350"/>
    </row>
    <row r="205" spans="1:37" ht="30" customHeight="1" x14ac:dyDescent="0.2">
      <c r="A205" s="16"/>
      <c r="B205" s="16"/>
      <c r="C205" s="648"/>
      <c r="D205" s="642"/>
      <c r="E205" s="648"/>
      <c r="F205" s="648"/>
      <c r="G205" s="50">
        <v>30</v>
      </c>
      <c r="H205" s="52" t="s">
        <v>248</v>
      </c>
      <c r="I205" s="52"/>
      <c r="J205" s="52"/>
      <c r="K205" s="119"/>
      <c r="L205" s="119"/>
      <c r="M205" s="581"/>
      <c r="N205" s="136"/>
      <c r="O205" s="52"/>
      <c r="P205" s="52"/>
      <c r="Q205" s="231"/>
      <c r="R205" s="231"/>
      <c r="S205" s="231"/>
      <c r="T205" s="231"/>
      <c r="U205" s="231"/>
      <c r="V205" s="231"/>
      <c r="W205" s="231"/>
      <c r="X205" s="231"/>
      <c r="Y205" s="231"/>
      <c r="Z205" s="231"/>
      <c r="AA205" s="231"/>
      <c r="AB205" s="231"/>
      <c r="AC205" s="231"/>
      <c r="AD205" s="231"/>
      <c r="AE205" s="231"/>
      <c r="AF205" s="359"/>
      <c r="AG205" s="231"/>
      <c r="AH205" s="231"/>
      <c r="AI205" s="231"/>
      <c r="AJ205" s="231"/>
      <c r="AK205" s="233"/>
    </row>
    <row r="206" spans="1:37" ht="63.75" customHeight="1" x14ac:dyDescent="0.2">
      <c r="A206" s="16"/>
      <c r="B206" s="16"/>
      <c r="C206" s="638" t="s">
        <v>249</v>
      </c>
      <c r="D206" s="659" t="s">
        <v>250</v>
      </c>
      <c r="E206" s="666" t="s">
        <v>251</v>
      </c>
      <c r="F206" s="638" t="s">
        <v>252</v>
      </c>
      <c r="G206" s="665"/>
      <c r="H206" s="673">
        <v>117</v>
      </c>
      <c r="I206" s="665" t="s">
        <v>253</v>
      </c>
      <c r="J206" s="18" t="s">
        <v>32</v>
      </c>
      <c r="K206" s="153">
        <v>2</v>
      </c>
      <c r="L206" s="20">
        <v>2017003630004</v>
      </c>
      <c r="M206" s="21" t="s">
        <v>240</v>
      </c>
      <c r="N206" s="673" t="s">
        <v>254</v>
      </c>
      <c r="O206" s="665" t="s">
        <v>875</v>
      </c>
      <c r="P206" s="673" t="s">
        <v>54</v>
      </c>
      <c r="Q206" s="346"/>
      <c r="R206" s="346">
        <v>0</v>
      </c>
      <c r="S206" s="346">
        <v>0</v>
      </c>
      <c r="T206" s="346">
        <v>0</v>
      </c>
      <c r="U206" s="346">
        <v>0</v>
      </c>
      <c r="V206" s="346">
        <v>0</v>
      </c>
      <c r="W206" s="346">
        <v>0</v>
      </c>
      <c r="X206" s="346"/>
      <c r="Y206" s="346"/>
      <c r="Z206" s="346">
        <v>0</v>
      </c>
      <c r="AA206" s="346">
        <v>0</v>
      </c>
      <c r="AB206" s="346"/>
      <c r="AC206" s="346"/>
      <c r="AD206" s="346">
        <v>0</v>
      </c>
      <c r="AE206" s="346">
        <v>0</v>
      </c>
      <c r="AF206" s="347">
        <v>80000000</v>
      </c>
      <c r="AG206" s="360"/>
      <c r="AH206" s="346">
        <v>0</v>
      </c>
      <c r="AI206" s="348"/>
      <c r="AJ206" s="348">
        <v>0</v>
      </c>
      <c r="AK206" s="346">
        <f>Q206+R206+S206+T206+U206+V206+W206+X206+Y206+Z206+AA206+AB206+AC206+AD206+AE206+AF206+AG206+AH206+AI206+AJ206</f>
        <v>80000000</v>
      </c>
    </row>
    <row r="207" spans="1:37" ht="30" customHeight="1" x14ac:dyDescent="0.2">
      <c r="A207" s="16"/>
      <c r="B207" s="16"/>
      <c r="C207" s="649"/>
      <c r="D207" s="644"/>
      <c r="E207" s="649"/>
      <c r="F207" s="649"/>
      <c r="G207" s="30"/>
      <c r="H207" s="31"/>
      <c r="I207" s="30"/>
      <c r="J207" s="32"/>
      <c r="K207" s="159"/>
      <c r="L207" s="159"/>
      <c r="M207" s="151"/>
      <c r="N207" s="31"/>
      <c r="O207" s="30"/>
      <c r="P207" s="31"/>
      <c r="Q207" s="355">
        <f t="shared" ref="Q207:AK207" si="47">Q206</f>
        <v>0</v>
      </c>
      <c r="R207" s="355">
        <f t="shared" si="47"/>
        <v>0</v>
      </c>
      <c r="S207" s="355">
        <f t="shared" si="47"/>
        <v>0</v>
      </c>
      <c r="T207" s="355">
        <f t="shared" si="47"/>
        <v>0</v>
      </c>
      <c r="U207" s="355">
        <f t="shared" si="47"/>
        <v>0</v>
      </c>
      <c r="V207" s="355">
        <f t="shared" si="47"/>
        <v>0</v>
      </c>
      <c r="W207" s="355">
        <f t="shared" si="47"/>
        <v>0</v>
      </c>
      <c r="X207" s="355">
        <f t="shared" si="47"/>
        <v>0</v>
      </c>
      <c r="Y207" s="355">
        <f t="shared" si="47"/>
        <v>0</v>
      </c>
      <c r="Z207" s="355">
        <f t="shared" si="47"/>
        <v>0</v>
      </c>
      <c r="AA207" s="355">
        <f t="shared" si="47"/>
        <v>0</v>
      </c>
      <c r="AB207" s="355">
        <f t="shared" si="47"/>
        <v>0</v>
      </c>
      <c r="AC207" s="355">
        <f t="shared" si="47"/>
        <v>0</v>
      </c>
      <c r="AD207" s="355">
        <f t="shared" si="47"/>
        <v>0</v>
      </c>
      <c r="AE207" s="355">
        <f t="shared" si="47"/>
        <v>0</v>
      </c>
      <c r="AF207" s="355">
        <f t="shared" si="47"/>
        <v>80000000</v>
      </c>
      <c r="AG207" s="355">
        <f t="shared" si="47"/>
        <v>0</v>
      </c>
      <c r="AH207" s="355">
        <f t="shared" si="47"/>
        <v>0</v>
      </c>
      <c r="AI207" s="355">
        <f t="shared" si="47"/>
        <v>0</v>
      </c>
      <c r="AJ207" s="355">
        <f t="shared" si="47"/>
        <v>0</v>
      </c>
      <c r="AK207" s="355">
        <f t="shared" si="47"/>
        <v>80000000</v>
      </c>
    </row>
    <row r="208" spans="1:37" ht="30" customHeight="1" x14ac:dyDescent="0.2">
      <c r="A208" s="16"/>
      <c r="B208" s="16"/>
      <c r="C208" s="648"/>
      <c r="D208" s="466"/>
      <c r="E208" s="467"/>
      <c r="F208" s="467"/>
      <c r="G208" s="44"/>
      <c r="H208" s="116"/>
      <c r="I208" s="44"/>
      <c r="J208" s="45"/>
      <c r="K208" s="160"/>
      <c r="L208" s="160"/>
      <c r="M208" s="62"/>
      <c r="N208" s="116"/>
      <c r="O208" s="44"/>
      <c r="P208" s="116"/>
      <c r="Q208" s="350"/>
      <c r="R208" s="351"/>
      <c r="S208" s="350"/>
      <c r="T208" s="350"/>
      <c r="U208" s="350"/>
      <c r="V208" s="350"/>
      <c r="W208" s="350"/>
      <c r="X208" s="350"/>
      <c r="Y208" s="350"/>
      <c r="Z208" s="350"/>
      <c r="AA208" s="350"/>
      <c r="AB208" s="350"/>
      <c r="AC208" s="350"/>
      <c r="AD208" s="350"/>
      <c r="AE208" s="350"/>
      <c r="AF208" s="352"/>
      <c r="AG208" s="353"/>
      <c r="AH208" s="350"/>
      <c r="AI208" s="350"/>
      <c r="AJ208" s="351"/>
      <c r="AK208" s="350"/>
    </row>
    <row r="209" spans="1:37" ht="30" customHeight="1" x14ac:dyDescent="0.2">
      <c r="A209" s="16"/>
      <c r="B209" s="16"/>
      <c r="C209" s="638"/>
      <c r="D209" s="643"/>
      <c r="E209" s="638"/>
      <c r="F209" s="638"/>
      <c r="G209" s="126">
        <v>31</v>
      </c>
      <c r="H209" s="135" t="s">
        <v>255</v>
      </c>
      <c r="I209" s="52"/>
      <c r="J209" s="52"/>
      <c r="K209" s="119"/>
      <c r="L209" s="119"/>
      <c r="M209" s="581"/>
      <c r="N209" s="136"/>
      <c r="O209" s="52"/>
      <c r="P209" s="52"/>
      <c r="Q209" s="231"/>
      <c r="R209" s="231"/>
      <c r="S209" s="231"/>
      <c r="T209" s="231"/>
      <c r="U209" s="231"/>
      <c r="V209" s="231"/>
      <c r="W209" s="231"/>
      <c r="X209" s="231"/>
      <c r="Y209" s="231"/>
      <c r="Z209" s="231"/>
      <c r="AA209" s="231"/>
      <c r="AB209" s="231"/>
      <c r="AC209" s="231"/>
      <c r="AD209" s="231"/>
      <c r="AE209" s="231"/>
      <c r="AF209" s="359"/>
      <c r="AG209" s="231"/>
      <c r="AH209" s="231"/>
      <c r="AI209" s="231"/>
      <c r="AJ209" s="231"/>
      <c r="AK209" s="231"/>
    </row>
    <row r="210" spans="1:37" ht="68.25" customHeight="1" x14ac:dyDescent="0.2">
      <c r="A210" s="16"/>
      <c r="B210" s="16"/>
      <c r="C210" s="638" t="s">
        <v>256</v>
      </c>
      <c r="D210" s="659" t="s">
        <v>257</v>
      </c>
      <c r="E210" s="666" t="s">
        <v>258</v>
      </c>
      <c r="F210" s="638" t="s">
        <v>259</v>
      </c>
      <c r="G210" s="54"/>
      <c r="H210" s="673">
        <v>118</v>
      </c>
      <c r="I210" s="665" t="s">
        <v>260</v>
      </c>
      <c r="J210" s="18">
        <v>16</v>
      </c>
      <c r="K210" s="661">
        <v>6</v>
      </c>
      <c r="L210" s="20">
        <v>2017003630005</v>
      </c>
      <c r="M210" s="21" t="s">
        <v>240</v>
      </c>
      <c r="N210" s="673" t="s">
        <v>261</v>
      </c>
      <c r="O210" s="665" t="s">
        <v>876</v>
      </c>
      <c r="P210" s="673" t="s">
        <v>54</v>
      </c>
      <c r="Q210" s="538">
        <f>169700000+330733</f>
        <v>170030733</v>
      </c>
      <c r="R210" s="346">
        <v>0</v>
      </c>
      <c r="S210" s="346">
        <v>0</v>
      </c>
      <c r="T210" s="346">
        <v>0</v>
      </c>
      <c r="U210" s="346">
        <v>0</v>
      </c>
      <c r="V210" s="346">
        <v>0</v>
      </c>
      <c r="W210" s="346">
        <v>0</v>
      </c>
      <c r="X210" s="346"/>
      <c r="Y210" s="346"/>
      <c r="Z210" s="346">
        <v>0</v>
      </c>
      <c r="AA210" s="346">
        <v>0</v>
      </c>
      <c r="AB210" s="346"/>
      <c r="AC210" s="346"/>
      <c r="AD210" s="346">
        <v>0</v>
      </c>
      <c r="AE210" s="346">
        <v>0</v>
      </c>
      <c r="AF210" s="347">
        <v>0</v>
      </c>
      <c r="AG210" s="360"/>
      <c r="AH210" s="346">
        <v>0</v>
      </c>
      <c r="AI210" s="348"/>
      <c r="AJ210" s="546">
        <f>0+28350000</f>
        <v>28350000</v>
      </c>
      <c r="AK210" s="346">
        <f>Q210+R210+S210+T210+U210+V210+W210+X210+Y210+Z210+AA210+AB210+AC210+AD210+AE210+AF210+AG210+AH210+AI210+AJ210</f>
        <v>198380733</v>
      </c>
    </row>
    <row r="211" spans="1:37" ht="30" customHeight="1" x14ac:dyDescent="0.2">
      <c r="A211" s="16"/>
      <c r="B211" s="29"/>
      <c r="C211" s="649"/>
      <c r="D211" s="644"/>
      <c r="E211" s="649"/>
      <c r="F211" s="649"/>
      <c r="G211" s="239"/>
      <c r="H211" s="31"/>
      <c r="I211" s="30"/>
      <c r="J211" s="32"/>
      <c r="K211" s="159"/>
      <c r="L211" s="159"/>
      <c r="M211" s="151"/>
      <c r="N211" s="31"/>
      <c r="O211" s="30"/>
      <c r="P211" s="31"/>
      <c r="Q211" s="355">
        <f t="shared" ref="Q211:AK211" si="48">SUM(Q210)</f>
        <v>170030733</v>
      </c>
      <c r="R211" s="355">
        <f t="shared" si="48"/>
        <v>0</v>
      </c>
      <c r="S211" s="355">
        <f t="shared" si="48"/>
        <v>0</v>
      </c>
      <c r="T211" s="355">
        <f t="shared" si="48"/>
        <v>0</v>
      </c>
      <c r="U211" s="355">
        <f t="shared" si="48"/>
        <v>0</v>
      </c>
      <c r="V211" s="355">
        <f t="shared" si="48"/>
        <v>0</v>
      </c>
      <c r="W211" s="355">
        <f t="shared" si="48"/>
        <v>0</v>
      </c>
      <c r="X211" s="355">
        <f t="shared" si="48"/>
        <v>0</v>
      </c>
      <c r="Y211" s="355">
        <f t="shared" si="48"/>
        <v>0</v>
      </c>
      <c r="Z211" s="355">
        <f t="shared" si="48"/>
        <v>0</v>
      </c>
      <c r="AA211" s="355">
        <f t="shared" si="48"/>
        <v>0</v>
      </c>
      <c r="AB211" s="355">
        <f t="shared" si="48"/>
        <v>0</v>
      </c>
      <c r="AC211" s="355">
        <f t="shared" si="48"/>
        <v>0</v>
      </c>
      <c r="AD211" s="355">
        <f t="shared" si="48"/>
        <v>0</v>
      </c>
      <c r="AE211" s="355">
        <f t="shared" si="48"/>
        <v>0</v>
      </c>
      <c r="AF211" s="355">
        <f t="shared" si="48"/>
        <v>0</v>
      </c>
      <c r="AG211" s="355">
        <f t="shared" si="48"/>
        <v>0</v>
      </c>
      <c r="AH211" s="355">
        <f t="shared" si="48"/>
        <v>0</v>
      </c>
      <c r="AI211" s="355">
        <f t="shared" si="48"/>
        <v>0</v>
      </c>
      <c r="AJ211" s="355">
        <f t="shared" si="48"/>
        <v>28350000</v>
      </c>
      <c r="AK211" s="355">
        <f t="shared" si="48"/>
        <v>198380733</v>
      </c>
    </row>
    <row r="212" spans="1:37" ht="30" customHeight="1" x14ac:dyDescent="0.2">
      <c r="A212" s="16"/>
      <c r="B212" s="68"/>
      <c r="C212" s="35"/>
      <c r="D212" s="161"/>
      <c r="E212" s="162"/>
      <c r="F212" s="162"/>
      <c r="G212" s="34"/>
      <c r="H212" s="35"/>
      <c r="I212" s="34"/>
      <c r="J212" s="36"/>
      <c r="K212" s="163"/>
      <c r="L212" s="163"/>
      <c r="M212" s="303"/>
      <c r="N212" s="35"/>
      <c r="O212" s="34"/>
      <c r="P212" s="35"/>
      <c r="Q212" s="361">
        <f t="shared" ref="Q212:AK212" si="49">Q211+Q207+Q203</f>
        <v>2963763815</v>
      </c>
      <c r="R212" s="361">
        <f t="shared" si="49"/>
        <v>0</v>
      </c>
      <c r="S212" s="361">
        <f t="shared" si="49"/>
        <v>0</v>
      </c>
      <c r="T212" s="361">
        <f t="shared" si="49"/>
        <v>0</v>
      </c>
      <c r="U212" s="361">
        <f t="shared" si="49"/>
        <v>0</v>
      </c>
      <c r="V212" s="361">
        <f t="shared" si="49"/>
        <v>0</v>
      </c>
      <c r="W212" s="361">
        <f t="shared" si="49"/>
        <v>0</v>
      </c>
      <c r="X212" s="361">
        <f t="shared" si="49"/>
        <v>0</v>
      </c>
      <c r="Y212" s="361">
        <f t="shared" si="49"/>
        <v>0</v>
      </c>
      <c r="Z212" s="361">
        <f t="shared" si="49"/>
        <v>0</v>
      </c>
      <c r="AA212" s="361">
        <f t="shared" si="49"/>
        <v>0</v>
      </c>
      <c r="AB212" s="361">
        <f t="shared" si="49"/>
        <v>0</v>
      </c>
      <c r="AC212" s="361">
        <f t="shared" si="49"/>
        <v>0</v>
      </c>
      <c r="AD212" s="361">
        <f t="shared" si="49"/>
        <v>0</v>
      </c>
      <c r="AE212" s="361">
        <f t="shared" si="49"/>
        <v>0</v>
      </c>
      <c r="AF212" s="361">
        <f t="shared" si="49"/>
        <v>1577000000</v>
      </c>
      <c r="AG212" s="361">
        <f t="shared" si="49"/>
        <v>0</v>
      </c>
      <c r="AH212" s="361">
        <f t="shared" si="49"/>
        <v>0</v>
      </c>
      <c r="AI212" s="361">
        <f t="shared" si="49"/>
        <v>0</v>
      </c>
      <c r="AJ212" s="361">
        <f t="shared" si="49"/>
        <v>28350000</v>
      </c>
      <c r="AK212" s="361">
        <f t="shared" si="49"/>
        <v>4569113815</v>
      </c>
    </row>
    <row r="213" spans="1:37" ht="30" customHeight="1" x14ac:dyDescent="0.2">
      <c r="A213" s="16"/>
      <c r="B213" s="44"/>
      <c r="C213" s="155"/>
      <c r="D213" s="156"/>
      <c r="E213" s="157"/>
      <c r="F213" s="157"/>
      <c r="G213" s="44"/>
      <c r="H213" s="116"/>
      <c r="I213" s="44"/>
      <c r="J213" s="45"/>
      <c r="K213" s="160"/>
      <c r="L213" s="160"/>
      <c r="M213" s="62"/>
      <c r="N213" s="116"/>
      <c r="O213" s="44"/>
      <c r="P213" s="116"/>
      <c r="Q213" s="350"/>
      <c r="R213" s="351"/>
      <c r="S213" s="350"/>
      <c r="T213" s="350"/>
      <c r="U213" s="350"/>
      <c r="V213" s="350"/>
      <c r="W213" s="350"/>
      <c r="X213" s="350"/>
      <c r="Y213" s="350"/>
      <c r="Z213" s="350"/>
      <c r="AA213" s="350"/>
      <c r="AB213" s="350"/>
      <c r="AC213" s="350"/>
      <c r="AD213" s="350"/>
      <c r="AE213" s="350"/>
      <c r="AF213" s="352"/>
      <c r="AG213" s="353"/>
      <c r="AH213" s="350"/>
      <c r="AI213" s="350"/>
      <c r="AJ213" s="351"/>
      <c r="AK213" s="350"/>
    </row>
    <row r="214" spans="1:37" ht="30" customHeight="1" x14ac:dyDescent="0.2">
      <c r="A214" s="16"/>
      <c r="B214" s="93">
        <v>10</v>
      </c>
      <c r="C214" s="11" t="s">
        <v>262</v>
      </c>
      <c r="D214" s="12"/>
      <c r="E214" s="12"/>
      <c r="F214" s="12"/>
      <c r="G214" s="12"/>
      <c r="H214" s="13"/>
      <c r="I214" s="12"/>
      <c r="J214" s="12"/>
      <c r="K214" s="164"/>
      <c r="L214" s="164"/>
      <c r="M214" s="579"/>
      <c r="N214" s="13"/>
      <c r="O214" s="12"/>
      <c r="P214" s="12"/>
      <c r="Q214" s="357"/>
      <c r="R214" s="357"/>
      <c r="S214" s="357"/>
      <c r="T214" s="357"/>
      <c r="U214" s="357"/>
      <c r="V214" s="357"/>
      <c r="W214" s="357"/>
      <c r="X214" s="357"/>
      <c r="Y214" s="357"/>
      <c r="Z214" s="357"/>
      <c r="AA214" s="357"/>
      <c r="AB214" s="357"/>
      <c r="AC214" s="357"/>
      <c r="AD214" s="357"/>
      <c r="AE214" s="357"/>
      <c r="AF214" s="358"/>
      <c r="AG214" s="357"/>
      <c r="AH214" s="357"/>
      <c r="AI214" s="357"/>
      <c r="AJ214" s="357"/>
      <c r="AK214" s="362"/>
    </row>
    <row r="215" spans="1:37" ht="30" customHeight="1" x14ac:dyDescent="0.2">
      <c r="A215" s="16"/>
      <c r="B215" s="125"/>
      <c r="C215" s="3"/>
      <c r="D215" s="465"/>
      <c r="E215" s="465"/>
      <c r="F215" s="465"/>
      <c r="G215" s="165">
        <v>32</v>
      </c>
      <c r="H215" s="78" t="s">
        <v>263</v>
      </c>
      <c r="I215" s="78"/>
      <c r="J215" s="78"/>
      <c r="K215" s="166"/>
      <c r="L215" s="166"/>
      <c r="M215" s="582"/>
      <c r="N215" s="336"/>
      <c r="O215" s="78"/>
      <c r="P215" s="78"/>
      <c r="Q215" s="363"/>
      <c r="R215" s="363"/>
      <c r="S215" s="363"/>
      <c r="T215" s="363"/>
      <c r="U215" s="363"/>
      <c r="V215" s="363"/>
      <c r="W215" s="363"/>
      <c r="X215" s="363"/>
      <c r="Y215" s="363"/>
      <c r="Z215" s="363"/>
      <c r="AA215" s="363"/>
      <c r="AB215" s="363"/>
      <c r="AC215" s="363"/>
      <c r="AD215" s="363"/>
      <c r="AE215" s="363"/>
      <c r="AF215" s="364"/>
      <c r="AG215" s="363"/>
      <c r="AH215" s="363"/>
      <c r="AI215" s="363"/>
      <c r="AJ215" s="363"/>
      <c r="AK215" s="365"/>
    </row>
    <row r="216" spans="1:37" ht="79.5" customHeight="1" x14ac:dyDescent="0.2">
      <c r="A216" s="16"/>
      <c r="B216" s="167"/>
      <c r="C216" s="638" t="s">
        <v>264</v>
      </c>
      <c r="D216" s="659" t="s">
        <v>265</v>
      </c>
      <c r="E216" s="666" t="s">
        <v>266</v>
      </c>
      <c r="F216" s="638" t="s">
        <v>267</v>
      </c>
      <c r="G216" s="665"/>
      <c r="H216" s="673">
        <v>119</v>
      </c>
      <c r="I216" s="665" t="s">
        <v>268</v>
      </c>
      <c r="J216" s="18">
        <v>10</v>
      </c>
      <c r="K216" s="153">
        <v>9</v>
      </c>
      <c r="L216" s="20">
        <v>2017003630009</v>
      </c>
      <c r="M216" s="21" t="s">
        <v>240</v>
      </c>
      <c r="N216" s="673" t="s">
        <v>269</v>
      </c>
      <c r="O216" s="665" t="s">
        <v>270</v>
      </c>
      <c r="P216" s="673" t="s">
        <v>54</v>
      </c>
      <c r="Q216" s="346">
        <v>0</v>
      </c>
      <c r="R216" s="346">
        <v>0</v>
      </c>
      <c r="S216" s="346">
        <v>0</v>
      </c>
      <c r="T216" s="346">
        <v>0</v>
      </c>
      <c r="U216" s="346">
        <v>0</v>
      </c>
      <c r="V216" s="346">
        <v>0</v>
      </c>
      <c r="W216" s="346">
        <v>0</v>
      </c>
      <c r="X216" s="346"/>
      <c r="Y216" s="346"/>
      <c r="Z216" s="346">
        <v>0</v>
      </c>
      <c r="AA216" s="346">
        <v>0</v>
      </c>
      <c r="AB216" s="346">
        <v>0</v>
      </c>
      <c r="AC216" s="346">
        <v>0</v>
      </c>
      <c r="AD216" s="346">
        <v>0</v>
      </c>
      <c r="AE216" s="346">
        <v>0</v>
      </c>
      <c r="AF216" s="347">
        <f>139000000+11000000</f>
        <v>150000000</v>
      </c>
      <c r="AG216" s="360"/>
      <c r="AH216" s="540">
        <f>244500000+156456761-31955400-68231351</f>
        <v>300770010</v>
      </c>
      <c r="AI216" s="348"/>
      <c r="AJ216" s="375">
        <v>0</v>
      </c>
      <c r="AK216" s="346">
        <f>Q216+R216+S216+T216+U216+V216+W216+X216+Y216+Z216+AA216+AB216+AC216+AD216+AE216+AF216+AG216+AH216+AI216+AJ216</f>
        <v>450770010</v>
      </c>
    </row>
    <row r="217" spans="1:37" s="557" customFormat="1" ht="30" customHeight="1" x14ac:dyDescent="0.25">
      <c r="A217" s="16"/>
      <c r="B217" s="167"/>
      <c r="C217" s="649"/>
      <c r="D217" s="644"/>
      <c r="E217" s="649"/>
      <c r="F217" s="649"/>
      <c r="G217" s="30"/>
      <c r="H217" s="31"/>
      <c r="I217" s="30"/>
      <c r="J217" s="32"/>
      <c r="K217" s="159"/>
      <c r="L217" s="159"/>
      <c r="M217" s="151"/>
      <c r="N217" s="31"/>
      <c r="O217" s="30"/>
      <c r="P217" s="31"/>
      <c r="Q217" s="355">
        <f t="shared" ref="Q217:AJ217" si="50">SUM(Q216)</f>
        <v>0</v>
      </c>
      <c r="R217" s="355">
        <f t="shared" si="50"/>
        <v>0</v>
      </c>
      <c r="S217" s="355">
        <f t="shared" si="50"/>
        <v>0</v>
      </c>
      <c r="T217" s="355">
        <f t="shared" si="50"/>
        <v>0</v>
      </c>
      <c r="U217" s="355">
        <f t="shared" si="50"/>
        <v>0</v>
      </c>
      <c r="V217" s="355">
        <f t="shared" si="50"/>
        <v>0</v>
      </c>
      <c r="W217" s="355">
        <f t="shared" si="50"/>
        <v>0</v>
      </c>
      <c r="X217" s="355">
        <f t="shared" si="50"/>
        <v>0</v>
      </c>
      <c r="Y217" s="355">
        <f t="shared" si="50"/>
        <v>0</v>
      </c>
      <c r="Z217" s="355">
        <f t="shared" si="50"/>
        <v>0</v>
      </c>
      <c r="AA217" s="355">
        <f t="shared" si="50"/>
        <v>0</v>
      </c>
      <c r="AB217" s="355">
        <f t="shared" si="50"/>
        <v>0</v>
      </c>
      <c r="AC217" s="355">
        <f t="shared" si="50"/>
        <v>0</v>
      </c>
      <c r="AD217" s="355">
        <f t="shared" si="50"/>
        <v>0</v>
      </c>
      <c r="AE217" s="355">
        <f t="shared" si="50"/>
        <v>0</v>
      </c>
      <c r="AF217" s="355">
        <f t="shared" si="50"/>
        <v>150000000</v>
      </c>
      <c r="AG217" s="355">
        <f t="shared" si="50"/>
        <v>0</v>
      </c>
      <c r="AH217" s="355">
        <f t="shared" si="50"/>
        <v>300770010</v>
      </c>
      <c r="AI217" s="355">
        <f t="shared" si="50"/>
        <v>0</v>
      </c>
      <c r="AJ217" s="355">
        <f t="shared" si="50"/>
        <v>0</v>
      </c>
      <c r="AK217" s="355">
        <f>SUM(AK216)</f>
        <v>450770010</v>
      </c>
    </row>
    <row r="218" spans="1:37" s="557" customFormat="1" ht="30" customHeight="1" x14ac:dyDescent="0.25">
      <c r="A218" s="16"/>
      <c r="B218" s="167"/>
      <c r="C218" s="155"/>
      <c r="D218" s="156"/>
      <c r="E218" s="157"/>
      <c r="F218" s="157"/>
      <c r="G218" s="44"/>
      <c r="H218" s="116"/>
      <c r="I218" s="44"/>
      <c r="J218" s="45"/>
      <c r="K218" s="160"/>
      <c r="L218" s="168"/>
      <c r="M218" s="585"/>
      <c r="N218" s="345"/>
      <c r="O218" s="74"/>
      <c r="P218" s="116"/>
      <c r="Q218" s="350"/>
      <c r="R218" s="351"/>
      <c r="S218" s="350"/>
      <c r="T218" s="350"/>
      <c r="U218" s="350"/>
      <c r="V218" s="350"/>
      <c r="W218" s="350"/>
      <c r="X218" s="350"/>
      <c r="Y218" s="350"/>
      <c r="Z218" s="350"/>
      <c r="AA218" s="350"/>
      <c r="AB218" s="350"/>
      <c r="AC218" s="350"/>
      <c r="AD218" s="350"/>
      <c r="AE218" s="350"/>
      <c r="AF218" s="352"/>
      <c r="AG218" s="353"/>
      <c r="AH218" s="350"/>
      <c r="AI218" s="350"/>
      <c r="AJ218" s="351"/>
      <c r="AK218" s="350"/>
    </row>
    <row r="219" spans="1:37" s="557" customFormat="1" ht="30" customHeight="1" x14ac:dyDescent="0.25">
      <c r="A219" s="16"/>
      <c r="B219" s="167"/>
      <c r="C219" s="648"/>
      <c r="D219" s="642"/>
      <c r="E219" s="648"/>
      <c r="F219" s="648"/>
      <c r="G219" s="50">
        <v>33</v>
      </c>
      <c r="H219" s="52" t="s">
        <v>271</v>
      </c>
      <c r="I219" s="52"/>
      <c r="J219" s="52"/>
      <c r="K219" s="119"/>
      <c r="L219" s="119"/>
      <c r="M219" s="581"/>
      <c r="N219" s="136"/>
      <c r="O219" s="52"/>
      <c r="P219" s="52"/>
      <c r="Q219" s="231"/>
      <c r="R219" s="231"/>
      <c r="S219" s="231"/>
      <c r="T219" s="231"/>
      <c r="U219" s="231"/>
      <c r="V219" s="231"/>
      <c r="W219" s="231"/>
      <c r="X219" s="231"/>
      <c r="Y219" s="231"/>
      <c r="Z219" s="231"/>
      <c r="AA219" s="231"/>
      <c r="AB219" s="231"/>
      <c r="AC219" s="231"/>
      <c r="AD219" s="231"/>
      <c r="AE219" s="231"/>
      <c r="AF219" s="359"/>
      <c r="AG219" s="231"/>
      <c r="AH219" s="231"/>
      <c r="AI219" s="231"/>
      <c r="AJ219" s="231"/>
      <c r="AK219" s="233"/>
    </row>
    <row r="220" spans="1:37" ht="45" customHeight="1" x14ac:dyDescent="0.2">
      <c r="A220" s="16"/>
      <c r="B220" s="167"/>
      <c r="C220" s="732" t="s">
        <v>272</v>
      </c>
      <c r="D220" s="738" t="s">
        <v>273</v>
      </c>
      <c r="E220" s="756" t="s">
        <v>274</v>
      </c>
      <c r="F220" s="732" t="s">
        <v>275</v>
      </c>
      <c r="G220" s="17"/>
      <c r="H220" s="673">
        <v>120</v>
      </c>
      <c r="I220" s="665" t="s">
        <v>276</v>
      </c>
      <c r="J220" s="18">
        <v>0</v>
      </c>
      <c r="K220" s="153">
        <v>3</v>
      </c>
      <c r="L220" s="743">
        <v>2017003630008</v>
      </c>
      <c r="M220" s="734" t="s">
        <v>240</v>
      </c>
      <c r="N220" s="731" t="s">
        <v>277</v>
      </c>
      <c r="O220" s="734" t="s">
        <v>278</v>
      </c>
      <c r="P220" s="673" t="s">
        <v>54</v>
      </c>
      <c r="Q220" s="346">
        <v>0</v>
      </c>
      <c r="R220" s="346">
        <v>0</v>
      </c>
      <c r="S220" s="346">
        <v>0</v>
      </c>
      <c r="T220" s="346">
        <v>0</v>
      </c>
      <c r="U220" s="346">
        <v>0</v>
      </c>
      <c r="V220" s="346">
        <v>0</v>
      </c>
      <c r="W220" s="346">
        <v>0</v>
      </c>
      <c r="X220" s="346"/>
      <c r="Y220" s="346"/>
      <c r="Z220" s="346">
        <v>0</v>
      </c>
      <c r="AA220" s="346">
        <v>0</v>
      </c>
      <c r="AB220" s="346"/>
      <c r="AC220" s="346"/>
      <c r="AD220" s="346">
        <v>0</v>
      </c>
      <c r="AE220" s="346">
        <v>0</v>
      </c>
      <c r="AF220" s="347">
        <f>40000000-15770000+450000000</f>
        <v>474230000</v>
      </c>
      <c r="AG220" s="347"/>
      <c r="AH220" s="346">
        <v>0</v>
      </c>
      <c r="AI220" s="348"/>
      <c r="AJ220" s="348">
        <v>0</v>
      </c>
      <c r="AK220" s="346">
        <f>Q220+R220+S220+T220+U220+V220+W220+X220+Y220+Z220+AA220+AB220+AC220+AD220+AE220+AF220+AG220+AH220+AI220+AJ220</f>
        <v>474230000</v>
      </c>
    </row>
    <row r="221" spans="1:37" ht="45" customHeight="1" x14ac:dyDescent="0.2">
      <c r="A221" s="16"/>
      <c r="B221" s="167"/>
      <c r="C221" s="732"/>
      <c r="D221" s="738"/>
      <c r="E221" s="756"/>
      <c r="F221" s="732"/>
      <c r="G221" s="65"/>
      <c r="H221" s="673">
        <v>121</v>
      </c>
      <c r="I221" s="665" t="s">
        <v>279</v>
      </c>
      <c r="J221" s="18">
        <v>9</v>
      </c>
      <c r="K221" s="153">
        <v>4</v>
      </c>
      <c r="L221" s="745"/>
      <c r="M221" s="736"/>
      <c r="N221" s="733"/>
      <c r="O221" s="736"/>
      <c r="P221" s="673" t="s">
        <v>54</v>
      </c>
      <c r="Q221" s="346">
        <v>0</v>
      </c>
      <c r="R221" s="346">
        <v>0</v>
      </c>
      <c r="S221" s="346">
        <v>0</v>
      </c>
      <c r="T221" s="346">
        <v>0</v>
      </c>
      <c r="U221" s="346">
        <v>0</v>
      </c>
      <c r="V221" s="346">
        <v>0</v>
      </c>
      <c r="W221" s="346">
        <v>0</v>
      </c>
      <c r="X221" s="346"/>
      <c r="Y221" s="346"/>
      <c r="Z221" s="346">
        <v>0</v>
      </c>
      <c r="AA221" s="346">
        <v>0</v>
      </c>
      <c r="AB221" s="346"/>
      <c r="AC221" s="346"/>
      <c r="AD221" s="346">
        <v>0</v>
      </c>
      <c r="AE221" s="346">
        <v>0</v>
      </c>
      <c r="AF221" s="347">
        <f>40000000+15770000+20000000</f>
        <v>75770000</v>
      </c>
      <c r="AG221" s="347"/>
      <c r="AH221" s="346">
        <v>0</v>
      </c>
      <c r="AI221" s="348"/>
      <c r="AJ221" s="348">
        <v>0</v>
      </c>
      <c r="AK221" s="346">
        <f>Q221+R221+S221+T221+U221+V221+W221+X221+Y221+Z221+AA221+AB221+AC221+AD221+AE221+AF221+AG221+AH221+AI221+AJ221</f>
        <v>75770000</v>
      </c>
    </row>
    <row r="222" spans="1:37" ht="30" customHeight="1" x14ac:dyDescent="0.2">
      <c r="A222" s="16"/>
      <c r="B222" s="169"/>
      <c r="C222" s="649"/>
      <c r="D222" s="644"/>
      <c r="E222" s="649"/>
      <c r="F222" s="649"/>
      <c r="G222" s="30"/>
      <c r="H222" s="31"/>
      <c r="I222" s="30"/>
      <c r="J222" s="32"/>
      <c r="K222" s="154"/>
      <c r="L222" s="154"/>
      <c r="M222" s="30"/>
      <c r="N222" s="31"/>
      <c r="O222" s="30"/>
      <c r="P222" s="31"/>
      <c r="Q222" s="355">
        <f t="shared" ref="Q222:AJ222" si="51">SUM(Q220:Q221)</f>
        <v>0</v>
      </c>
      <c r="R222" s="355">
        <f t="shared" si="51"/>
        <v>0</v>
      </c>
      <c r="S222" s="355">
        <f t="shared" si="51"/>
        <v>0</v>
      </c>
      <c r="T222" s="355">
        <f t="shared" si="51"/>
        <v>0</v>
      </c>
      <c r="U222" s="355">
        <f t="shared" si="51"/>
        <v>0</v>
      </c>
      <c r="V222" s="355">
        <f t="shared" si="51"/>
        <v>0</v>
      </c>
      <c r="W222" s="355">
        <f t="shared" si="51"/>
        <v>0</v>
      </c>
      <c r="X222" s="355">
        <f t="shared" si="51"/>
        <v>0</v>
      </c>
      <c r="Y222" s="355">
        <f t="shared" si="51"/>
        <v>0</v>
      </c>
      <c r="Z222" s="355">
        <f t="shared" si="51"/>
        <v>0</v>
      </c>
      <c r="AA222" s="355">
        <f t="shared" si="51"/>
        <v>0</v>
      </c>
      <c r="AB222" s="355">
        <f t="shared" si="51"/>
        <v>0</v>
      </c>
      <c r="AC222" s="355">
        <f t="shared" si="51"/>
        <v>0</v>
      </c>
      <c r="AD222" s="355">
        <f t="shared" si="51"/>
        <v>0</v>
      </c>
      <c r="AE222" s="355">
        <f t="shared" si="51"/>
        <v>0</v>
      </c>
      <c r="AF222" s="355">
        <f t="shared" si="51"/>
        <v>550000000</v>
      </c>
      <c r="AG222" s="355">
        <f t="shared" si="51"/>
        <v>0</v>
      </c>
      <c r="AH222" s="355">
        <f t="shared" si="51"/>
        <v>0</v>
      </c>
      <c r="AI222" s="355">
        <f t="shared" si="51"/>
        <v>0</v>
      </c>
      <c r="AJ222" s="355">
        <f t="shared" si="51"/>
        <v>0</v>
      </c>
      <c r="AK222" s="355">
        <f>SUM(AK220:AK221)</f>
        <v>550000000</v>
      </c>
    </row>
    <row r="223" spans="1:37" ht="30" customHeight="1" x14ac:dyDescent="0.2">
      <c r="A223" s="29"/>
      <c r="B223" s="68"/>
      <c r="C223" s="35"/>
      <c r="D223" s="161"/>
      <c r="E223" s="162"/>
      <c r="F223" s="162"/>
      <c r="G223" s="34"/>
      <c r="H223" s="35"/>
      <c r="I223" s="34"/>
      <c r="J223" s="36"/>
      <c r="K223" s="170"/>
      <c r="L223" s="170"/>
      <c r="M223" s="34"/>
      <c r="N223" s="35"/>
      <c r="O223" s="34"/>
      <c r="P223" s="35"/>
      <c r="Q223" s="361">
        <f t="shared" ref="Q223:AK223" si="52">Q222+Q217</f>
        <v>0</v>
      </c>
      <c r="R223" s="361">
        <f t="shared" si="52"/>
        <v>0</v>
      </c>
      <c r="S223" s="361">
        <f t="shared" si="52"/>
        <v>0</v>
      </c>
      <c r="T223" s="361">
        <f t="shared" si="52"/>
        <v>0</v>
      </c>
      <c r="U223" s="361">
        <f t="shared" si="52"/>
        <v>0</v>
      </c>
      <c r="V223" s="361">
        <f t="shared" si="52"/>
        <v>0</v>
      </c>
      <c r="W223" s="361">
        <f t="shared" si="52"/>
        <v>0</v>
      </c>
      <c r="X223" s="361">
        <f t="shared" si="52"/>
        <v>0</v>
      </c>
      <c r="Y223" s="361">
        <f t="shared" si="52"/>
        <v>0</v>
      </c>
      <c r="Z223" s="361">
        <f t="shared" si="52"/>
        <v>0</v>
      </c>
      <c r="AA223" s="361">
        <f t="shared" si="52"/>
        <v>0</v>
      </c>
      <c r="AB223" s="361">
        <f t="shared" si="52"/>
        <v>0</v>
      </c>
      <c r="AC223" s="361">
        <f t="shared" si="52"/>
        <v>0</v>
      </c>
      <c r="AD223" s="361">
        <f t="shared" si="52"/>
        <v>0</v>
      </c>
      <c r="AE223" s="361">
        <f t="shared" si="52"/>
        <v>0</v>
      </c>
      <c r="AF223" s="361">
        <f t="shared" si="52"/>
        <v>700000000</v>
      </c>
      <c r="AG223" s="361">
        <f t="shared" si="52"/>
        <v>0</v>
      </c>
      <c r="AH223" s="361">
        <f t="shared" si="52"/>
        <v>300770010</v>
      </c>
      <c r="AI223" s="361">
        <f t="shared" si="52"/>
        <v>0</v>
      </c>
      <c r="AJ223" s="361">
        <f t="shared" si="52"/>
        <v>0</v>
      </c>
      <c r="AK223" s="361">
        <f t="shared" si="52"/>
        <v>1000770010</v>
      </c>
    </row>
    <row r="224" spans="1:37" ht="30" customHeight="1" x14ac:dyDescent="0.2">
      <c r="A224" s="37"/>
      <c r="B224" s="37"/>
      <c r="C224" s="38"/>
      <c r="D224" s="171"/>
      <c r="E224" s="172"/>
      <c r="F224" s="172"/>
      <c r="G224" s="37"/>
      <c r="H224" s="38"/>
      <c r="I224" s="37"/>
      <c r="J224" s="39"/>
      <c r="K224" s="173"/>
      <c r="L224" s="173"/>
      <c r="M224" s="37"/>
      <c r="N224" s="38"/>
      <c r="O224" s="37"/>
      <c r="P224" s="38"/>
      <c r="Q224" s="367">
        <f t="shared" ref="Q224:AK224" si="53">Q223+Q212</f>
        <v>2963763815</v>
      </c>
      <c r="R224" s="367">
        <f t="shared" si="53"/>
        <v>0</v>
      </c>
      <c r="S224" s="367">
        <f t="shared" si="53"/>
        <v>0</v>
      </c>
      <c r="T224" s="367">
        <f t="shared" si="53"/>
        <v>0</v>
      </c>
      <c r="U224" s="367">
        <f t="shared" si="53"/>
        <v>0</v>
      </c>
      <c r="V224" s="367">
        <f t="shared" si="53"/>
        <v>0</v>
      </c>
      <c r="W224" s="367">
        <f t="shared" si="53"/>
        <v>0</v>
      </c>
      <c r="X224" s="367">
        <f t="shared" si="53"/>
        <v>0</v>
      </c>
      <c r="Y224" s="367">
        <f t="shared" si="53"/>
        <v>0</v>
      </c>
      <c r="Z224" s="367">
        <f t="shared" si="53"/>
        <v>0</v>
      </c>
      <c r="AA224" s="367">
        <f t="shared" si="53"/>
        <v>0</v>
      </c>
      <c r="AB224" s="367">
        <f t="shared" si="53"/>
        <v>0</v>
      </c>
      <c r="AC224" s="367">
        <f t="shared" si="53"/>
        <v>0</v>
      </c>
      <c r="AD224" s="367">
        <f t="shared" si="53"/>
        <v>0</v>
      </c>
      <c r="AE224" s="367">
        <f t="shared" si="53"/>
        <v>0</v>
      </c>
      <c r="AF224" s="367">
        <f t="shared" si="53"/>
        <v>2277000000</v>
      </c>
      <c r="AG224" s="367">
        <f t="shared" si="53"/>
        <v>0</v>
      </c>
      <c r="AH224" s="367">
        <f t="shared" si="53"/>
        <v>300770010</v>
      </c>
      <c r="AI224" s="367">
        <f t="shared" si="53"/>
        <v>0</v>
      </c>
      <c r="AJ224" s="367">
        <f t="shared" si="53"/>
        <v>28350000</v>
      </c>
      <c r="AK224" s="367">
        <f t="shared" si="53"/>
        <v>5569883825</v>
      </c>
    </row>
    <row r="225" spans="1:37" ht="30" customHeight="1" x14ac:dyDescent="0.2">
      <c r="A225" s="40"/>
      <c r="B225" s="40"/>
      <c r="C225" s="41"/>
      <c r="D225" s="174"/>
      <c r="E225" s="175"/>
      <c r="F225" s="175"/>
      <c r="G225" s="40"/>
      <c r="H225" s="41"/>
      <c r="I225" s="40"/>
      <c r="J225" s="42"/>
      <c r="K225" s="176"/>
      <c r="L225" s="176"/>
      <c r="M225" s="40"/>
      <c r="N225" s="41"/>
      <c r="O225" s="40"/>
      <c r="P225" s="41"/>
      <c r="Q225" s="368">
        <f t="shared" ref="Q225:AK225" si="54">Q224</f>
        <v>2963763815</v>
      </c>
      <c r="R225" s="368">
        <f t="shared" si="54"/>
        <v>0</v>
      </c>
      <c r="S225" s="368">
        <f t="shared" si="54"/>
        <v>0</v>
      </c>
      <c r="T225" s="368">
        <f t="shared" si="54"/>
        <v>0</v>
      </c>
      <c r="U225" s="368">
        <f t="shared" si="54"/>
        <v>0</v>
      </c>
      <c r="V225" s="368">
        <f t="shared" si="54"/>
        <v>0</v>
      </c>
      <c r="W225" s="368">
        <f t="shared" si="54"/>
        <v>0</v>
      </c>
      <c r="X225" s="368">
        <f t="shared" si="54"/>
        <v>0</v>
      </c>
      <c r="Y225" s="368">
        <f t="shared" si="54"/>
        <v>0</v>
      </c>
      <c r="Z225" s="368">
        <f t="shared" si="54"/>
        <v>0</v>
      </c>
      <c r="AA225" s="368">
        <f t="shared" si="54"/>
        <v>0</v>
      </c>
      <c r="AB225" s="368">
        <f t="shared" si="54"/>
        <v>0</v>
      </c>
      <c r="AC225" s="368">
        <f t="shared" si="54"/>
        <v>0</v>
      </c>
      <c r="AD225" s="368">
        <f t="shared" si="54"/>
        <v>0</v>
      </c>
      <c r="AE225" s="368">
        <f t="shared" si="54"/>
        <v>0</v>
      </c>
      <c r="AF225" s="368">
        <f t="shared" si="54"/>
        <v>2277000000</v>
      </c>
      <c r="AG225" s="368">
        <f t="shared" si="54"/>
        <v>0</v>
      </c>
      <c r="AH225" s="368">
        <f t="shared" si="54"/>
        <v>300770010</v>
      </c>
      <c r="AI225" s="368">
        <f t="shared" si="54"/>
        <v>0</v>
      </c>
      <c r="AJ225" s="368">
        <f t="shared" si="54"/>
        <v>28350000</v>
      </c>
      <c r="AK225" s="368">
        <f t="shared" si="54"/>
        <v>5569883825</v>
      </c>
    </row>
    <row r="226" spans="1:37" ht="30" customHeight="1" x14ac:dyDescent="0.2">
      <c r="A226" s="43"/>
      <c r="B226" s="44"/>
      <c r="C226" s="116"/>
      <c r="D226" s="177"/>
      <c r="E226" s="178"/>
      <c r="F226" s="178"/>
      <c r="G226" s="44"/>
      <c r="H226" s="116"/>
      <c r="I226" s="44"/>
      <c r="J226" s="45"/>
      <c r="K226" s="158"/>
      <c r="L226" s="158"/>
      <c r="M226" s="44"/>
      <c r="N226" s="116"/>
      <c r="O226" s="44"/>
      <c r="P226" s="116"/>
      <c r="Q226" s="350"/>
      <c r="R226" s="351"/>
      <c r="S226" s="350"/>
      <c r="T226" s="350"/>
      <c r="U226" s="350"/>
      <c r="V226" s="350"/>
      <c r="W226" s="350"/>
      <c r="X226" s="350"/>
      <c r="Y226" s="350"/>
      <c r="Z226" s="350"/>
      <c r="AA226" s="350"/>
      <c r="AB226" s="351"/>
      <c r="AC226" s="351"/>
      <c r="AD226" s="350"/>
      <c r="AE226" s="350"/>
      <c r="AF226" s="352"/>
      <c r="AG226" s="353"/>
      <c r="AH226" s="350"/>
      <c r="AI226" s="350"/>
      <c r="AJ226" s="351"/>
      <c r="AK226" s="350"/>
    </row>
    <row r="227" spans="1:37" ht="30" customHeight="1" x14ac:dyDescent="0.2">
      <c r="A227" s="4" t="s">
        <v>280</v>
      </c>
      <c r="B227" s="5"/>
      <c r="C227" s="6"/>
      <c r="D227" s="5"/>
      <c r="E227" s="5"/>
      <c r="F227" s="5"/>
      <c r="G227" s="5"/>
      <c r="H227" s="6"/>
      <c r="I227" s="5"/>
      <c r="J227" s="5"/>
      <c r="K227" s="179"/>
      <c r="L227" s="179"/>
      <c r="M227" s="577"/>
      <c r="N227" s="6"/>
      <c r="O227" s="5"/>
      <c r="P227" s="6"/>
      <c r="Q227" s="413"/>
      <c r="R227" s="413"/>
      <c r="S227" s="413"/>
      <c r="T227" s="413"/>
      <c r="U227" s="413"/>
      <c r="V227" s="413"/>
      <c r="W227" s="413"/>
      <c r="X227" s="413"/>
      <c r="Y227" s="413"/>
      <c r="Z227" s="413"/>
      <c r="AA227" s="413"/>
      <c r="AB227" s="413"/>
      <c r="AC227" s="413"/>
      <c r="AD227" s="413"/>
      <c r="AE227" s="413"/>
      <c r="AF227" s="414"/>
      <c r="AG227" s="415"/>
      <c r="AH227" s="413"/>
      <c r="AI227" s="413"/>
      <c r="AJ227" s="413"/>
      <c r="AK227" s="416" t="s">
        <v>56</v>
      </c>
    </row>
    <row r="228" spans="1:37" ht="30" customHeight="1" x14ac:dyDescent="0.2">
      <c r="A228" s="679">
        <v>2</v>
      </c>
      <c r="B228" s="7" t="s">
        <v>106</v>
      </c>
      <c r="C228" s="8"/>
      <c r="D228" s="7"/>
      <c r="E228" s="7"/>
      <c r="F228" s="7"/>
      <c r="G228" s="7"/>
      <c r="H228" s="8"/>
      <c r="I228" s="7"/>
      <c r="J228" s="7"/>
      <c r="K228" s="180"/>
      <c r="L228" s="180"/>
      <c r="M228" s="578"/>
      <c r="N228" s="8"/>
      <c r="O228" s="7"/>
      <c r="P228" s="7"/>
      <c r="Q228" s="376"/>
      <c r="R228" s="376"/>
      <c r="S228" s="376"/>
      <c r="T228" s="376"/>
      <c r="U228" s="376"/>
      <c r="V228" s="376"/>
      <c r="W228" s="376"/>
      <c r="X228" s="376"/>
      <c r="Y228" s="376"/>
      <c r="Z228" s="376"/>
      <c r="AA228" s="376"/>
      <c r="AB228" s="376"/>
      <c r="AC228" s="376"/>
      <c r="AD228" s="376"/>
      <c r="AE228" s="376"/>
      <c r="AF228" s="377"/>
      <c r="AG228" s="376"/>
      <c r="AH228" s="376"/>
      <c r="AI228" s="376"/>
      <c r="AJ228" s="376"/>
      <c r="AK228" s="378"/>
    </row>
    <row r="229" spans="1:37" ht="30" customHeight="1" x14ac:dyDescent="0.2">
      <c r="A229" s="48"/>
      <c r="B229" s="93">
        <v>2</v>
      </c>
      <c r="C229" s="13" t="s">
        <v>281</v>
      </c>
      <c r="D229" s="12"/>
      <c r="E229" s="12"/>
      <c r="F229" s="12"/>
      <c r="G229" s="12"/>
      <c r="H229" s="13"/>
      <c r="I229" s="12"/>
      <c r="J229" s="12"/>
      <c r="K229" s="164"/>
      <c r="L229" s="164"/>
      <c r="M229" s="579"/>
      <c r="N229" s="13"/>
      <c r="O229" s="12"/>
      <c r="P229" s="12"/>
      <c r="Q229" s="357"/>
      <c r="R229" s="357"/>
      <c r="S229" s="357"/>
      <c r="T229" s="357"/>
      <c r="U229" s="357"/>
      <c r="V229" s="357"/>
      <c r="W229" s="357"/>
      <c r="X229" s="357"/>
      <c r="Y229" s="357"/>
      <c r="Z229" s="357"/>
      <c r="AA229" s="357"/>
      <c r="AB229" s="357"/>
      <c r="AC229" s="357"/>
      <c r="AD229" s="357"/>
      <c r="AE229" s="357"/>
      <c r="AF229" s="358"/>
      <c r="AG229" s="357"/>
      <c r="AH229" s="357"/>
      <c r="AI229" s="357"/>
      <c r="AJ229" s="357"/>
      <c r="AK229" s="362"/>
    </row>
    <row r="230" spans="1:37" ht="30" customHeight="1" x14ac:dyDescent="0.2">
      <c r="A230" s="16"/>
      <c r="B230" s="48"/>
      <c r="C230" s="648"/>
      <c r="D230" s="642"/>
      <c r="E230" s="648"/>
      <c r="F230" s="648"/>
      <c r="G230" s="181">
        <v>8</v>
      </c>
      <c r="H230" s="52" t="s">
        <v>282</v>
      </c>
      <c r="I230" s="52"/>
      <c r="J230" s="52"/>
      <c r="K230" s="119"/>
      <c r="L230" s="119"/>
      <c r="M230" s="581"/>
      <c r="N230" s="136"/>
      <c r="O230" s="52"/>
      <c r="P230" s="52"/>
      <c r="Q230" s="231"/>
      <c r="R230" s="231"/>
      <c r="S230" s="231"/>
      <c r="T230" s="231"/>
      <c r="U230" s="231"/>
      <c r="V230" s="231"/>
      <c r="W230" s="231"/>
      <c r="X230" s="231"/>
      <c r="Y230" s="231"/>
      <c r="Z230" s="231"/>
      <c r="AA230" s="231"/>
      <c r="AB230" s="231"/>
      <c r="AC230" s="231"/>
      <c r="AD230" s="231"/>
      <c r="AE230" s="231"/>
      <c r="AF230" s="359"/>
      <c r="AG230" s="231"/>
      <c r="AH230" s="231"/>
      <c r="AI230" s="231"/>
      <c r="AJ230" s="231"/>
      <c r="AK230" s="233"/>
    </row>
    <row r="231" spans="1:37" ht="48" customHeight="1" x14ac:dyDescent="0.2">
      <c r="A231" s="16"/>
      <c r="B231" s="16"/>
      <c r="C231" s="649">
        <v>5</v>
      </c>
      <c r="D231" s="644" t="s">
        <v>283</v>
      </c>
      <c r="E231" s="649">
        <v>12.9</v>
      </c>
      <c r="F231" s="649">
        <v>8.9</v>
      </c>
      <c r="G231" s="17"/>
      <c r="H231" s="673">
        <v>38</v>
      </c>
      <c r="I231" s="665" t="s">
        <v>284</v>
      </c>
      <c r="J231" s="673">
        <v>3</v>
      </c>
      <c r="K231" s="132">
        <v>4</v>
      </c>
      <c r="L231" s="743">
        <v>2017003630086</v>
      </c>
      <c r="M231" s="734" t="s">
        <v>285</v>
      </c>
      <c r="N231" s="731" t="s">
        <v>286</v>
      </c>
      <c r="O231" s="734" t="s">
        <v>877</v>
      </c>
      <c r="P231" s="132" t="s">
        <v>41</v>
      </c>
      <c r="Q231" s="346">
        <v>0</v>
      </c>
      <c r="R231" s="346">
        <v>0</v>
      </c>
      <c r="S231" s="346">
        <v>0</v>
      </c>
      <c r="T231" s="346">
        <v>0</v>
      </c>
      <c r="U231" s="346">
        <v>0</v>
      </c>
      <c r="V231" s="346">
        <v>0</v>
      </c>
      <c r="W231" s="346">
        <v>0</v>
      </c>
      <c r="X231" s="346"/>
      <c r="Y231" s="346"/>
      <c r="Z231" s="346">
        <v>0</v>
      </c>
      <c r="AA231" s="346">
        <v>0</v>
      </c>
      <c r="AB231" s="346"/>
      <c r="AC231" s="346"/>
      <c r="AD231" s="346">
        <v>0</v>
      </c>
      <c r="AE231" s="346">
        <v>0</v>
      </c>
      <c r="AF231" s="347">
        <f>20000000</f>
        <v>20000000</v>
      </c>
      <c r="AG231" s="347"/>
      <c r="AH231" s="346">
        <v>0</v>
      </c>
      <c r="AI231" s="348"/>
      <c r="AJ231" s="348">
        <v>0</v>
      </c>
      <c r="AK231" s="346">
        <f>Q231+R231+S231+T231+U231+V231+W231+X231+Y231+Z231+AA231+AB231+AC231+AD231+AE231+AF231+AG231+AH231+AI231+AJ231</f>
        <v>20000000</v>
      </c>
    </row>
    <row r="232" spans="1:37" ht="48" customHeight="1" x14ac:dyDescent="0.2">
      <c r="A232" s="16"/>
      <c r="B232" s="16"/>
      <c r="C232" s="663">
        <v>6</v>
      </c>
      <c r="D232" s="665" t="s">
        <v>287</v>
      </c>
      <c r="E232" s="649" t="s">
        <v>288</v>
      </c>
      <c r="F232" s="649" t="s">
        <v>289</v>
      </c>
      <c r="G232" s="23"/>
      <c r="H232" s="673">
        <v>39</v>
      </c>
      <c r="I232" s="17" t="s">
        <v>290</v>
      </c>
      <c r="J232" s="673">
        <v>0</v>
      </c>
      <c r="K232" s="132">
        <v>3</v>
      </c>
      <c r="L232" s="745"/>
      <c r="M232" s="736"/>
      <c r="N232" s="733"/>
      <c r="O232" s="736"/>
      <c r="P232" s="132" t="s">
        <v>41</v>
      </c>
      <c r="Q232" s="346"/>
      <c r="R232" s="346"/>
      <c r="S232" s="346"/>
      <c r="T232" s="346"/>
      <c r="U232" s="346"/>
      <c r="V232" s="346"/>
      <c r="W232" s="346"/>
      <c r="X232" s="346"/>
      <c r="Y232" s="346"/>
      <c r="Z232" s="346"/>
      <c r="AA232" s="346"/>
      <c r="AB232" s="346"/>
      <c r="AC232" s="346"/>
      <c r="AD232" s="346"/>
      <c r="AE232" s="346"/>
      <c r="AF232" s="347">
        <f>40000000+50000000</f>
        <v>90000000</v>
      </c>
      <c r="AG232" s="347"/>
      <c r="AH232" s="346"/>
      <c r="AI232" s="348"/>
      <c r="AJ232" s="348"/>
      <c r="AK232" s="346">
        <f>Q232+R232+S232+T232+U232+V232+W232+X232+Y232+Z232+AA232+AB232+AC232+AD232+AE232+AF232+AG232+AH232+AI232+AJ232</f>
        <v>90000000</v>
      </c>
    </row>
    <row r="233" spans="1:37" ht="66" customHeight="1" x14ac:dyDescent="0.2">
      <c r="A233" s="16"/>
      <c r="B233" s="16"/>
      <c r="C233" s="757">
        <v>5</v>
      </c>
      <c r="D233" s="729" t="s">
        <v>283</v>
      </c>
      <c r="E233" s="731">
        <v>12.9</v>
      </c>
      <c r="F233" s="757">
        <v>8.9</v>
      </c>
      <c r="G233" s="23"/>
      <c r="H233" s="673">
        <v>40</v>
      </c>
      <c r="I233" s="665" t="s">
        <v>291</v>
      </c>
      <c r="J233" s="673">
        <v>0</v>
      </c>
      <c r="K233" s="182">
        <v>0.4</v>
      </c>
      <c r="L233" s="743">
        <v>2017003630045</v>
      </c>
      <c r="M233" s="734" t="s">
        <v>285</v>
      </c>
      <c r="N233" s="731" t="s">
        <v>292</v>
      </c>
      <c r="O233" s="734" t="s">
        <v>878</v>
      </c>
      <c r="P233" s="132" t="s">
        <v>54</v>
      </c>
      <c r="Q233" s="346">
        <v>0</v>
      </c>
      <c r="R233" s="346">
        <v>0</v>
      </c>
      <c r="S233" s="346">
        <v>0</v>
      </c>
      <c r="T233" s="346">
        <v>0</v>
      </c>
      <c r="U233" s="346">
        <v>0</v>
      </c>
      <c r="V233" s="346">
        <v>0</v>
      </c>
      <c r="W233" s="346">
        <v>0</v>
      </c>
      <c r="X233" s="346"/>
      <c r="Y233" s="346"/>
      <c r="Z233" s="346">
        <v>0</v>
      </c>
      <c r="AA233" s="346">
        <v>0</v>
      </c>
      <c r="AB233" s="346"/>
      <c r="AC233" s="346"/>
      <c r="AD233" s="346">
        <v>0</v>
      </c>
      <c r="AE233" s="346">
        <v>0</v>
      </c>
      <c r="AF233" s="347">
        <f>20000000+33000000</f>
        <v>53000000</v>
      </c>
      <c r="AG233" s="347"/>
      <c r="AH233" s="346">
        <v>0</v>
      </c>
      <c r="AI233" s="348"/>
      <c r="AJ233" s="348">
        <v>0</v>
      </c>
      <c r="AK233" s="346">
        <f>Q233+R233+S233+T233+U233+V233+W233+X233+Y233+Z233+AA233+AB233+AC233+AD233+AE233+AF233+AG233+AH233+AI233+AJ233</f>
        <v>53000000</v>
      </c>
    </row>
    <row r="234" spans="1:37" ht="48" customHeight="1" x14ac:dyDescent="0.2">
      <c r="A234" s="16"/>
      <c r="B234" s="16"/>
      <c r="C234" s="758"/>
      <c r="D234" s="734"/>
      <c r="E234" s="732"/>
      <c r="F234" s="758"/>
      <c r="G234" s="23"/>
      <c r="H234" s="673">
        <v>41</v>
      </c>
      <c r="I234" s="665" t="s">
        <v>293</v>
      </c>
      <c r="J234" s="673">
        <v>0</v>
      </c>
      <c r="K234" s="132">
        <v>1</v>
      </c>
      <c r="L234" s="744"/>
      <c r="M234" s="735"/>
      <c r="N234" s="732"/>
      <c r="O234" s="735"/>
      <c r="P234" s="132" t="s">
        <v>41</v>
      </c>
      <c r="Q234" s="346">
        <v>0</v>
      </c>
      <c r="R234" s="346">
        <v>0</v>
      </c>
      <c r="S234" s="346">
        <v>0</v>
      </c>
      <c r="T234" s="346">
        <v>0</v>
      </c>
      <c r="U234" s="346">
        <v>0</v>
      </c>
      <c r="V234" s="346">
        <v>0</v>
      </c>
      <c r="W234" s="346">
        <v>0</v>
      </c>
      <c r="X234" s="346"/>
      <c r="Y234" s="346"/>
      <c r="Z234" s="346">
        <v>0</v>
      </c>
      <c r="AA234" s="346">
        <v>0</v>
      </c>
      <c r="AB234" s="346"/>
      <c r="AC234" s="346"/>
      <c r="AD234" s="346">
        <v>0</v>
      </c>
      <c r="AE234" s="346">
        <v>0</v>
      </c>
      <c r="AF234" s="347">
        <v>25000000</v>
      </c>
      <c r="AG234" s="347"/>
      <c r="AH234" s="346">
        <v>0</v>
      </c>
      <c r="AI234" s="348"/>
      <c r="AJ234" s="348">
        <v>0</v>
      </c>
      <c r="AK234" s="346">
        <f>Q234+R234+S234+T234+U234+V234+W234+X234+Y234+Z234+AA234+AB234+AC234+AD234+AE234+AF234+AG234+AH234+AI234+AJ234</f>
        <v>25000000</v>
      </c>
    </row>
    <row r="235" spans="1:37" ht="48" customHeight="1" x14ac:dyDescent="0.2">
      <c r="A235" s="16"/>
      <c r="B235" s="16"/>
      <c r="C235" s="468">
        <v>6</v>
      </c>
      <c r="D235" s="469" t="s">
        <v>287</v>
      </c>
      <c r="E235" s="468" t="s">
        <v>288</v>
      </c>
      <c r="F235" s="468" t="s">
        <v>289</v>
      </c>
      <c r="G235" s="65"/>
      <c r="H235" s="673">
        <v>42</v>
      </c>
      <c r="I235" s="665" t="s">
        <v>294</v>
      </c>
      <c r="J235" s="673">
        <v>1</v>
      </c>
      <c r="K235" s="132">
        <v>1</v>
      </c>
      <c r="L235" s="745"/>
      <c r="M235" s="736"/>
      <c r="N235" s="733"/>
      <c r="O235" s="736"/>
      <c r="P235" s="132" t="s">
        <v>41</v>
      </c>
      <c r="Q235" s="346">
        <v>0</v>
      </c>
      <c r="R235" s="346">
        <v>0</v>
      </c>
      <c r="S235" s="346">
        <v>0</v>
      </c>
      <c r="T235" s="346">
        <v>0</v>
      </c>
      <c r="U235" s="346">
        <v>0</v>
      </c>
      <c r="V235" s="346">
        <v>0</v>
      </c>
      <c r="W235" s="346">
        <v>0</v>
      </c>
      <c r="X235" s="346"/>
      <c r="Y235" s="346"/>
      <c r="Z235" s="346">
        <v>0</v>
      </c>
      <c r="AA235" s="346">
        <v>0</v>
      </c>
      <c r="AB235" s="346"/>
      <c r="AC235" s="346"/>
      <c r="AD235" s="346">
        <v>0</v>
      </c>
      <c r="AE235" s="346">
        <v>0</v>
      </c>
      <c r="AF235" s="347">
        <f>35000000+70000000</f>
        <v>105000000</v>
      </c>
      <c r="AG235" s="347"/>
      <c r="AH235" s="346">
        <v>0</v>
      </c>
      <c r="AI235" s="346"/>
      <c r="AJ235" s="346">
        <v>0</v>
      </c>
      <c r="AK235" s="346">
        <f>Q235+R235+S235+T235+U235+V235+W235+X235+Y235+Z235+AA235+AB235+AC235+AD235+AE235+AF235+AG235+AH235+AI235+AJ235</f>
        <v>105000000</v>
      </c>
    </row>
    <row r="236" spans="1:37" ht="30" customHeight="1" x14ac:dyDescent="0.2">
      <c r="A236" s="16"/>
      <c r="B236" s="16"/>
      <c r="C236" s="649"/>
      <c r="D236" s="644"/>
      <c r="E236" s="649"/>
      <c r="F236" s="649"/>
      <c r="G236" s="30"/>
      <c r="H236" s="31"/>
      <c r="I236" s="30"/>
      <c r="J236" s="31"/>
      <c r="K236" s="154"/>
      <c r="L236" s="154"/>
      <c r="M236" s="30"/>
      <c r="N236" s="31"/>
      <c r="O236" s="30"/>
      <c r="P236" s="31"/>
      <c r="Q236" s="355">
        <f t="shared" ref="Q236:AJ236" si="55">SUM(Q231:Q235)</f>
        <v>0</v>
      </c>
      <c r="R236" s="355">
        <f t="shared" si="55"/>
        <v>0</v>
      </c>
      <c r="S236" s="355">
        <f t="shared" si="55"/>
        <v>0</v>
      </c>
      <c r="T236" s="355">
        <f t="shared" si="55"/>
        <v>0</v>
      </c>
      <c r="U236" s="355">
        <f t="shared" si="55"/>
        <v>0</v>
      </c>
      <c r="V236" s="355">
        <f t="shared" si="55"/>
        <v>0</v>
      </c>
      <c r="W236" s="355">
        <f t="shared" si="55"/>
        <v>0</v>
      </c>
      <c r="X236" s="355">
        <f t="shared" si="55"/>
        <v>0</v>
      </c>
      <c r="Y236" s="355">
        <f t="shared" si="55"/>
        <v>0</v>
      </c>
      <c r="Z236" s="355">
        <f t="shared" si="55"/>
        <v>0</v>
      </c>
      <c r="AA236" s="355">
        <f t="shared" si="55"/>
        <v>0</v>
      </c>
      <c r="AB236" s="355">
        <f t="shared" si="55"/>
        <v>0</v>
      </c>
      <c r="AC236" s="355">
        <f t="shared" si="55"/>
        <v>0</v>
      </c>
      <c r="AD236" s="355">
        <f t="shared" si="55"/>
        <v>0</v>
      </c>
      <c r="AE236" s="355">
        <f t="shared" si="55"/>
        <v>0</v>
      </c>
      <c r="AF236" s="355">
        <f t="shared" si="55"/>
        <v>293000000</v>
      </c>
      <c r="AG236" s="355">
        <f t="shared" si="55"/>
        <v>0</v>
      </c>
      <c r="AH236" s="355">
        <f t="shared" si="55"/>
        <v>0</v>
      </c>
      <c r="AI236" s="355">
        <f t="shared" si="55"/>
        <v>0</v>
      </c>
      <c r="AJ236" s="355">
        <f t="shared" si="55"/>
        <v>0</v>
      </c>
      <c r="AK236" s="355">
        <f>SUM(AK231:AK235)</f>
        <v>293000000</v>
      </c>
    </row>
    <row r="237" spans="1:37" ht="30" customHeight="1" x14ac:dyDescent="0.2">
      <c r="A237" s="16"/>
      <c r="B237" s="16"/>
      <c r="C237" s="663"/>
      <c r="D237" s="665"/>
      <c r="E237" s="673"/>
      <c r="F237" s="673"/>
      <c r="G237" s="665"/>
      <c r="H237" s="673"/>
      <c r="I237" s="665"/>
      <c r="J237" s="673"/>
      <c r="K237" s="182"/>
      <c r="L237" s="183"/>
      <c r="M237" s="642"/>
      <c r="N237" s="648"/>
      <c r="O237" s="642"/>
      <c r="P237" s="673"/>
      <c r="Q237" s="346"/>
      <c r="R237" s="372"/>
      <c r="S237" s="346"/>
      <c r="T237" s="346"/>
      <c r="U237" s="346"/>
      <c r="V237" s="346"/>
      <c r="W237" s="346"/>
      <c r="X237" s="346"/>
      <c r="Y237" s="346"/>
      <c r="Z237" s="346"/>
      <c r="AA237" s="346"/>
      <c r="AB237" s="346"/>
      <c r="AC237" s="346"/>
      <c r="AD237" s="346"/>
      <c r="AE237" s="346"/>
      <c r="AF237" s="399"/>
      <c r="AG237" s="383"/>
      <c r="AH237" s="346"/>
      <c r="AI237" s="348"/>
      <c r="AJ237" s="348"/>
      <c r="AK237" s="346"/>
    </row>
    <row r="238" spans="1:37" ht="30" customHeight="1" x14ac:dyDescent="0.2">
      <c r="A238" s="16"/>
      <c r="B238" s="16"/>
      <c r="C238" s="648"/>
      <c r="D238" s="642"/>
      <c r="E238" s="648"/>
      <c r="F238" s="648"/>
      <c r="G238" s="108">
        <v>9</v>
      </c>
      <c r="H238" s="135" t="s">
        <v>295</v>
      </c>
      <c r="I238" s="52"/>
      <c r="J238" s="52"/>
      <c r="K238" s="184"/>
      <c r="L238" s="184"/>
      <c r="M238" s="581"/>
      <c r="N238" s="136"/>
      <c r="O238" s="52"/>
      <c r="P238" s="52"/>
      <c r="Q238" s="231"/>
      <c r="R238" s="231"/>
      <c r="S238" s="231"/>
      <c r="T238" s="231"/>
      <c r="U238" s="231"/>
      <c r="V238" s="231"/>
      <c r="W238" s="231"/>
      <c r="X238" s="231"/>
      <c r="Y238" s="231"/>
      <c r="Z238" s="231"/>
      <c r="AA238" s="231"/>
      <c r="AB238" s="231"/>
      <c r="AC238" s="231"/>
      <c r="AD238" s="231"/>
      <c r="AE238" s="231"/>
      <c r="AF238" s="359"/>
      <c r="AG238" s="231"/>
      <c r="AH238" s="231"/>
      <c r="AI238" s="231"/>
      <c r="AJ238" s="231"/>
      <c r="AK238" s="233"/>
    </row>
    <row r="239" spans="1:37" ht="46.5" customHeight="1" x14ac:dyDescent="0.2">
      <c r="A239" s="16"/>
      <c r="B239" s="16"/>
      <c r="C239" s="649">
        <v>5</v>
      </c>
      <c r="D239" s="644" t="s">
        <v>283</v>
      </c>
      <c r="E239" s="649">
        <v>12.9</v>
      </c>
      <c r="F239" s="649">
        <v>8.9</v>
      </c>
      <c r="G239" s="731">
        <v>0</v>
      </c>
      <c r="H239" s="673">
        <v>43</v>
      </c>
      <c r="I239" s="665" t="s">
        <v>296</v>
      </c>
      <c r="J239" s="673" t="s">
        <v>32</v>
      </c>
      <c r="K239" s="132">
        <v>3</v>
      </c>
      <c r="L239" s="743">
        <v>2017003630089</v>
      </c>
      <c r="M239" s="734" t="s">
        <v>285</v>
      </c>
      <c r="N239" s="731" t="s">
        <v>297</v>
      </c>
      <c r="O239" s="734" t="s">
        <v>879</v>
      </c>
      <c r="P239" s="673" t="s">
        <v>54</v>
      </c>
      <c r="Q239" s="346">
        <v>0</v>
      </c>
      <c r="R239" s="346">
        <v>0</v>
      </c>
      <c r="S239" s="346">
        <v>0</v>
      </c>
      <c r="T239" s="346">
        <v>0</v>
      </c>
      <c r="U239" s="346">
        <v>0</v>
      </c>
      <c r="V239" s="346">
        <v>0</v>
      </c>
      <c r="W239" s="346">
        <v>0</v>
      </c>
      <c r="X239" s="346"/>
      <c r="Y239" s="346"/>
      <c r="Z239" s="346">
        <v>0</v>
      </c>
      <c r="AA239" s="346">
        <v>0</v>
      </c>
      <c r="AB239" s="346"/>
      <c r="AC239" s="346"/>
      <c r="AD239" s="346">
        <v>0</v>
      </c>
      <c r="AE239" s="346">
        <v>0</v>
      </c>
      <c r="AF239" s="547">
        <f>29000000+1696000</f>
        <v>30696000</v>
      </c>
      <c r="AG239" s="347"/>
      <c r="AH239" s="346">
        <v>0</v>
      </c>
      <c r="AI239" s="348"/>
      <c r="AJ239" s="348">
        <v>0</v>
      </c>
      <c r="AK239" s="533">
        <f>Q239+R239+S239+T239+U239+V239+W239+X239+Y239+Z239+AA239+AB239+AC239+AD239+AE239+AF239+AG239+AH239+AI239+AJ239</f>
        <v>30696000</v>
      </c>
    </row>
    <row r="240" spans="1:37" ht="46.5" customHeight="1" x14ac:dyDescent="0.2">
      <c r="A240" s="16"/>
      <c r="B240" s="16"/>
      <c r="C240" s="655">
        <v>6</v>
      </c>
      <c r="D240" s="643" t="s">
        <v>298</v>
      </c>
      <c r="E240" s="638" t="s">
        <v>288</v>
      </c>
      <c r="F240" s="638" t="s">
        <v>289</v>
      </c>
      <c r="G240" s="732"/>
      <c r="H240" s="673">
        <v>44</v>
      </c>
      <c r="I240" s="665" t="s">
        <v>299</v>
      </c>
      <c r="J240" s="673">
        <v>0</v>
      </c>
      <c r="K240" s="132">
        <v>1</v>
      </c>
      <c r="L240" s="744"/>
      <c r="M240" s="735"/>
      <c r="N240" s="732"/>
      <c r="O240" s="735"/>
      <c r="P240" s="673" t="s">
        <v>41</v>
      </c>
      <c r="Q240" s="346">
        <v>0</v>
      </c>
      <c r="R240" s="346">
        <v>0</v>
      </c>
      <c r="S240" s="346">
        <v>0</v>
      </c>
      <c r="T240" s="346">
        <v>0</v>
      </c>
      <c r="U240" s="346">
        <v>0</v>
      </c>
      <c r="V240" s="346">
        <v>0</v>
      </c>
      <c r="W240" s="346">
        <v>0</v>
      </c>
      <c r="X240" s="346"/>
      <c r="Y240" s="346"/>
      <c r="Z240" s="346">
        <v>0</v>
      </c>
      <c r="AA240" s="346">
        <v>0</v>
      </c>
      <c r="AB240" s="346"/>
      <c r="AC240" s="346"/>
      <c r="AD240" s="346">
        <v>0</v>
      </c>
      <c r="AE240" s="346">
        <v>0</v>
      </c>
      <c r="AF240" s="547">
        <f>31680000+31680000+6776000</f>
        <v>70136000</v>
      </c>
      <c r="AG240" s="347"/>
      <c r="AH240" s="346">
        <v>0</v>
      </c>
      <c r="AI240" s="348"/>
      <c r="AJ240" s="348">
        <v>0</v>
      </c>
      <c r="AK240" s="533">
        <f>Q240+R240+S240+T240+U240+V240+W240+X240+Y240+Z240+AA240+AB240+AC240+AD240+AE240+AF240+AG240+AH240+AI240+AJ240</f>
        <v>70136000</v>
      </c>
    </row>
    <row r="241" spans="1:37" ht="46.5" customHeight="1" x14ac:dyDescent="0.2">
      <c r="A241" s="16"/>
      <c r="B241" s="16"/>
      <c r="C241" s="731">
        <v>7</v>
      </c>
      <c r="D241" s="734" t="s">
        <v>300</v>
      </c>
      <c r="E241" s="731" t="s">
        <v>301</v>
      </c>
      <c r="F241" s="731">
        <v>27</v>
      </c>
      <c r="G241" s="732"/>
      <c r="H241" s="673">
        <v>45</v>
      </c>
      <c r="I241" s="665" t="s">
        <v>302</v>
      </c>
      <c r="J241" s="673" t="s">
        <v>32</v>
      </c>
      <c r="K241" s="132">
        <v>3</v>
      </c>
      <c r="L241" s="744"/>
      <c r="M241" s="735"/>
      <c r="N241" s="732"/>
      <c r="O241" s="735"/>
      <c r="P241" s="673" t="s">
        <v>54</v>
      </c>
      <c r="Q241" s="346"/>
      <c r="R241" s="346"/>
      <c r="S241" s="346"/>
      <c r="T241" s="346"/>
      <c r="U241" s="346"/>
      <c r="V241" s="346"/>
      <c r="W241" s="346"/>
      <c r="X241" s="346"/>
      <c r="Y241" s="346"/>
      <c r="Z241" s="346"/>
      <c r="AA241" s="346"/>
      <c r="AB241" s="346"/>
      <c r="AC241" s="346"/>
      <c r="AD241" s="346"/>
      <c r="AE241" s="346"/>
      <c r="AF241" s="547">
        <f>99320000+15840000+11406000</f>
        <v>126566000</v>
      </c>
      <c r="AG241" s="347"/>
      <c r="AH241" s="346"/>
      <c r="AI241" s="348"/>
      <c r="AJ241" s="348"/>
      <c r="AK241" s="533">
        <f>Q241+R241+S241+T241+U241+V241+W241+X241+Y241+Z241+AA241+AB241+AC241+AD241+AE241+AF241+AG241+AH241+AI241+AJ241</f>
        <v>126566000</v>
      </c>
    </row>
    <row r="242" spans="1:37" ht="46.5" customHeight="1" x14ac:dyDescent="0.2">
      <c r="A242" s="16"/>
      <c r="B242" s="16"/>
      <c r="C242" s="732"/>
      <c r="D242" s="735"/>
      <c r="E242" s="732"/>
      <c r="F242" s="732"/>
      <c r="G242" s="733"/>
      <c r="H242" s="673">
        <v>46</v>
      </c>
      <c r="I242" s="665" t="s">
        <v>303</v>
      </c>
      <c r="J242" s="673">
        <v>0</v>
      </c>
      <c r="K242" s="132">
        <v>1</v>
      </c>
      <c r="L242" s="745"/>
      <c r="M242" s="736"/>
      <c r="N242" s="733"/>
      <c r="O242" s="736"/>
      <c r="P242" s="673" t="s">
        <v>41</v>
      </c>
      <c r="Q242" s="346">
        <v>0</v>
      </c>
      <c r="R242" s="346">
        <v>0</v>
      </c>
      <c r="S242" s="346">
        <v>0</v>
      </c>
      <c r="T242" s="346">
        <v>0</v>
      </c>
      <c r="U242" s="346">
        <v>0</v>
      </c>
      <c r="V242" s="346">
        <v>0</v>
      </c>
      <c r="W242" s="346">
        <v>0</v>
      </c>
      <c r="X242" s="346"/>
      <c r="Y242" s="346"/>
      <c r="Z242" s="346">
        <v>0</v>
      </c>
      <c r="AA242" s="346">
        <v>0</v>
      </c>
      <c r="AB242" s="346"/>
      <c r="AC242" s="346"/>
      <c r="AD242" s="346">
        <v>0</v>
      </c>
      <c r="AE242" s="346">
        <v>0</v>
      </c>
      <c r="AF242" s="547">
        <f>100000000+50000000-19878000</f>
        <v>130122000</v>
      </c>
      <c r="AG242" s="347"/>
      <c r="AH242" s="346">
        <v>0</v>
      </c>
      <c r="AI242" s="348"/>
      <c r="AJ242" s="348">
        <v>0</v>
      </c>
      <c r="AK242" s="533">
        <f>Q242+R242+S242+T242+U242+V242+W242+X242+Y242+Z242+AA242+AB242+AC242+AD242+AE242+AF242+AG242+AH242+AI242+AJ242</f>
        <v>130122000</v>
      </c>
    </row>
    <row r="243" spans="1:37" ht="30" customHeight="1" x14ac:dyDescent="0.2">
      <c r="A243" s="16"/>
      <c r="B243" s="16"/>
      <c r="C243" s="649"/>
      <c r="D243" s="644"/>
      <c r="E243" s="649"/>
      <c r="F243" s="649"/>
      <c r="G243" s="30"/>
      <c r="H243" s="31"/>
      <c r="I243" s="30"/>
      <c r="J243" s="31"/>
      <c r="K243" s="185"/>
      <c r="L243" s="185"/>
      <c r="M243" s="30"/>
      <c r="N243" s="31"/>
      <c r="O243" s="30"/>
      <c r="P243" s="31"/>
      <c r="Q243" s="355">
        <f t="shared" ref="Q243:AJ243" si="56">SUM(Q239:Q242)</f>
        <v>0</v>
      </c>
      <c r="R243" s="355">
        <f t="shared" si="56"/>
        <v>0</v>
      </c>
      <c r="S243" s="355">
        <f t="shared" si="56"/>
        <v>0</v>
      </c>
      <c r="T243" s="355">
        <f t="shared" si="56"/>
        <v>0</v>
      </c>
      <c r="U243" s="355">
        <f t="shared" si="56"/>
        <v>0</v>
      </c>
      <c r="V243" s="355">
        <f t="shared" si="56"/>
        <v>0</v>
      </c>
      <c r="W243" s="355">
        <f t="shared" si="56"/>
        <v>0</v>
      </c>
      <c r="X243" s="355">
        <f t="shared" si="56"/>
        <v>0</v>
      </c>
      <c r="Y243" s="355">
        <f t="shared" si="56"/>
        <v>0</v>
      </c>
      <c r="Z243" s="355">
        <f t="shared" si="56"/>
        <v>0</v>
      </c>
      <c r="AA243" s="355">
        <f t="shared" si="56"/>
        <v>0</v>
      </c>
      <c r="AB243" s="355">
        <f t="shared" si="56"/>
        <v>0</v>
      </c>
      <c r="AC243" s="355">
        <f t="shared" si="56"/>
        <v>0</v>
      </c>
      <c r="AD243" s="355">
        <f t="shared" si="56"/>
        <v>0</v>
      </c>
      <c r="AE243" s="355">
        <f t="shared" si="56"/>
        <v>0</v>
      </c>
      <c r="AF243" s="355">
        <f t="shared" si="56"/>
        <v>357520000</v>
      </c>
      <c r="AG243" s="355">
        <f t="shared" si="56"/>
        <v>0</v>
      </c>
      <c r="AH243" s="355">
        <f t="shared" si="56"/>
        <v>0</v>
      </c>
      <c r="AI243" s="355">
        <f t="shared" si="56"/>
        <v>0</v>
      </c>
      <c r="AJ243" s="355">
        <f t="shared" si="56"/>
        <v>0</v>
      </c>
      <c r="AK243" s="534">
        <f>SUM(AK239:AK242)</f>
        <v>357520000</v>
      </c>
    </row>
    <row r="244" spans="1:37" s="554" customFormat="1" ht="30" customHeight="1" x14ac:dyDescent="0.2">
      <c r="A244" s="16"/>
      <c r="B244" s="16"/>
      <c r="C244" s="116"/>
      <c r="D244" s="44"/>
      <c r="E244" s="116"/>
      <c r="F244" s="116"/>
      <c r="G244" s="44"/>
      <c r="H244" s="116"/>
      <c r="I244" s="44"/>
      <c r="J244" s="116"/>
      <c r="K244" s="186"/>
      <c r="L244" s="186"/>
      <c r="M244" s="44"/>
      <c r="N244" s="116"/>
      <c r="O244" s="44"/>
      <c r="P244" s="116"/>
      <c r="Q244" s="350"/>
      <c r="R244" s="351"/>
      <c r="S244" s="350"/>
      <c r="T244" s="350"/>
      <c r="U244" s="350"/>
      <c r="V244" s="350"/>
      <c r="W244" s="350"/>
      <c r="X244" s="350"/>
      <c r="Y244" s="350"/>
      <c r="Z244" s="350"/>
      <c r="AA244" s="350"/>
      <c r="AB244" s="350"/>
      <c r="AC244" s="350"/>
      <c r="AD244" s="350"/>
      <c r="AE244" s="350"/>
      <c r="AF244" s="352" t="s">
        <v>56</v>
      </c>
      <c r="AG244" s="353"/>
      <c r="AH244" s="350"/>
      <c r="AI244" s="350"/>
      <c r="AJ244" s="350"/>
      <c r="AK244" s="535"/>
    </row>
    <row r="245" spans="1:37" ht="30" customHeight="1" x14ac:dyDescent="0.2">
      <c r="A245" s="16"/>
      <c r="B245" s="16"/>
      <c r="C245" s="648"/>
      <c r="D245" s="642"/>
      <c r="E245" s="648"/>
      <c r="F245" s="648"/>
      <c r="G245" s="187">
        <v>10</v>
      </c>
      <c r="H245" s="135" t="s">
        <v>304</v>
      </c>
      <c r="I245" s="52"/>
      <c r="J245" s="52"/>
      <c r="K245" s="184"/>
      <c r="L245" s="184"/>
      <c r="M245" s="581"/>
      <c r="N245" s="136"/>
      <c r="O245" s="52"/>
      <c r="P245" s="52"/>
      <c r="Q245" s="231"/>
      <c r="R245" s="231"/>
      <c r="S245" s="231"/>
      <c r="T245" s="231"/>
      <c r="U245" s="231"/>
      <c r="V245" s="231"/>
      <c r="W245" s="231"/>
      <c r="X245" s="231"/>
      <c r="Y245" s="231"/>
      <c r="Z245" s="231"/>
      <c r="AA245" s="231"/>
      <c r="AB245" s="231"/>
      <c r="AC245" s="231"/>
      <c r="AD245" s="231"/>
      <c r="AE245" s="231"/>
      <c r="AF245" s="359"/>
      <c r="AG245" s="231"/>
      <c r="AH245" s="231"/>
      <c r="AI245" s="231"/>
      <c r="AJ245" s="231"/>
      <c r="AK245" s="233"/>
    </row>
    <row r="246" spans="1:37" ht="50.25" customHeight="1" x14ac:dyDescent="0.2">
      <c r="A246" s="16"/>
      <c r="B246" s="16"/>
      <c r="C246" s="649">
        <v>5</v>
      </c>
      <c r="D246" s="644" t="s">
        <v>305</v>
      </c>
      <c r="E246" s="649" t="s">
        <v>306</v>
      </c>
      <c r="F246" s="649" t="s">
        <v>307</v>
      </c>
      <c r="G246" s="23"/>
      <c r="H246" s="673">
        <v>47</v>
      </c>
      <c r="I246" s="665" t="s">
        <v>308</v>
      </c>
      <c r="J246" s="673">
        <v>0</v>
      </c>
      <c r="K246" s="132">
        <v>36</v>
      </c>
      <c r="L246" s="743">
        <v>2017003630046</v>
      </c>
      <c r="M246" s="734" t="s">
        <v>285</v>
      </c>
      <c r="N246" s="731" t="s">
        <v>309</v>
      </c>
      <c r="O246" s="734" t="s">
        <v>880</v>
      </c>
      <c r="P246" s="673" t="s">
        <v>54</v>
      </c>
      <c r="Q246" s="346"/>
      <c r="R246" s="346"/>
      <c r="S246" s="346"/>
      <c r="T246" s="346"/>
      <c r="U246" s="346"/>
      <c r="V246" s="346"/>
      <c r="W246" s="346"/>
      <c r="X246" s="346"/>
      <c r="Y246" s="346"/>
      <c r="Z246" s="346"/>
      <c r="AA246" s="346"/>
      <c r="AB246" s="346"/>
      <c r="AC246" s="346"/>
      <c r="AD246" s="346"/>
      <c r="AE246" s="346"/>
      <c r="AF246" s="347">
        <f>55000000+75840000</f>
        <v>130840000</v>
      </c>
      <c r="AG246" s="347"/>
      <c r="AH246" s="346"/>
      <c r="AI246" s="348"/>
      <c r="AJ246" s="348"/>
      <c r="AK246" s="346">
        <f>Q246+R246+S246+T246+U246+V246+W246+X246+Y246+Z246+AA246+AB246+AC246+AD246+AE246+AF246+AG246+AH246+AI246+AJ246</f>
        <v>130840000</v>
      </c>
    </row>
    <row r="247" spans="1:37" ht="50.25" customHeight="1" x14ac:dyDescent="0.2">
      <c r="A247" s="16"/>
      <c r="B247" s="16"/>
      <c r="C247" s="655">
        <v>6</v>
      </c>
      <c r="D247" s="23" t="s">
        <v>298</v>
      </c>
      <c r="E247" s="638" t="s">
        <v>288</v>
      </c>
      <c r="F247" s="638" t="s">
        <v>289</v>
      </c>
      <c r="G247" s="23"/>
      <c r="H247" s="673">
        <v>48</v>
      </c>
      <c r="I247" s="665" t="s">
        <v>310</v>
      </c>
      <c r="J247" s="673">
        <v>0</v>
      </c>
      <c r="K247" s="132">
        <v>1</v>
      </c>
      <c r="L247" s="744"/>
      <c r="M247" s="735"/>
      <c r="N247" s="732"/>
      <c r="O247" s="735"/>
      <c r="P247" s="673" t="s">
        <v>41</v>
      </c>
      <c r="Q247" s="346">
        <v>0</v>
      </c>
      <c r="R247" s="346">
        <v>0</v>
      </c>
      <c r="S247" s="346">
        <v>0</v>
      </c>
      <c r="T247" s="346">
        <v>0</v>
      </c>
      <c r="U247" s="346">
        <v>0</v>
      </c>
      <c r="V247" s="346">
        <v>0</v>
      </c>
      <c r="W247" s="346">
        <v>0</v>
      </c>
      <c r="X247" s="346"/>
      <c r="Y247" s="346"/>
      <c r="Z247" s="346">
        <v>0</v>
      </c>
      <c r="AA247" s="346">
        <v>0</v>
      </c>
      <c r="AB247" s="346"/>
      <c r="AC247" s="346"/>
      <c r="AD247" s="346">
        <v>0</v>
      </c>
      <c r="AE247" s="346">
        <v>0</v>
      </c>
      <c r="AF247" s="347">
        <v>200000000</v>
      </c>
      <c r="AG247" s="347"/>
      <c r="AH247" s="346">
        <v>0</v>
      </c>
      <c r="AI247" s="348"/>
      <c r="AJ247" s="348">
        <v>0</v>
      </c>
      <c r="AK247" s="346">
        <f>Q247+R247+S247+T247+U247+V247+W247+X247+Y247+Z247+AA247+AB247+AC247+AD247+AE247+AF247+AG247+AH247+AI247+AJ247</f>
        <v>200000000</v>
      </c>
    </row>
    <row r="248" spans="1:37" ht="50.25" customHeight="1" thickBot="1" x14ac:dyDescent="0.25">
      <c r="A248" s="16"/>
      <c r="B248" s="16"/>
      <c r="C248" s="648">
        <v>7</v>
      </c>
      <c r="D248" s="642" t="s">
        <v>300</v>
      </c>
      <c r="E248" s="470">
        <v>31.7</v>
      </c>
      <c r="F248" s="648" t="s">
        <v>311</v>
      </c>
      <c r="G248" s="65"/>
      <c r="H248" s="673">
        <v>49</v>
      </c>
      <c r="I248" s="665" t="s">
        <v>312</v>
      </c>
      <c r="J248" s="673">
        <v>0</v>
      </c>
      <c r="K248" s="132">
        <v>1</v>
      </c>
      <c r="L248" s="745"/>
      <c r="M248" s="736"/>
      <c r="N248" s="733"/>
      <c r="O248" s="759"/>
      <c r="P248" s="673" t="s">
        <v>41</v>
      </c>
      <c r="Q248" s="346">
        <v>0</v>
      </c>
      <c r="R248" s="346">
        <v>0</v>
      </c>
      <c r="S248" s="346">
        <v>0</v>
      </c>
      <c r="T248" s="346">
        <v>0</v>
      </c>
      <c r="U248" s="346">
        <v>0</v>
      </c>
      <c r="V248" s="346">
        <v>0</v>
      </c>
      <c r="W248" s="346">
        <v>0</v>
      </c>
      <c r="X248" s="346"/>
      <c r="Y248" s="346"/>
      <c r="Z248" s="346">
        <v>0</v>
      </c>
      <c r="AA248" s="346">
        <v>0</v>
      </c>
      <c r="AB248" s="346"/>
      <c r="AC248" s="346"/>
      <c r="AD248" s="346">
        <v>0</v>
      </c>
      <c r="AE248" s="346">
        <v>0</v>
      </c>
      <c r="AF248" s="347">
        <v>5000000</v>
      </c>
      <c r="AG248" s="347"/>
      <c r="AH248" s="346">
        <v>0</v>
      </c>
      <c r="AI248" s="348"/>
      <c r="AJ248" s="348">
        <v>0</v>
      </c>
      <c r="AK248" s="346">
        <f>Q248+R248+S248+T248+U248+V248+W248+X248+Y248+Z248+AA248+AB248+AC248+AD248+AE248+AF248+AG248+AH248+AI248+AJ248</f>
        <v>5000000</v>
      </c>
    </row>
    <row r="249" spans="1:37" ht="30" customHeight="1" thickTop="1" x14ac:dyDescent="0.2">
      <c r="A249" s="16"/>
      <c r="B249" s="29"/>
      <c r="C249" s="649"/>
      <c r="D249" s="644"/>
      <c r="E249" s="649"/>
      <c r="F249" s="649"/>
      <c r="G249" s="30"/>
      <c r="H249" s="31"/>
      <c r="I249" s="30"/>
      <c r="J249" s="31"/>
      <c r="K249" s="185"/>
      <c r="L249" s="185"/>
      <c r="M249" s="30"/>
      <c r="N249" s="31"/>
      <c r="O249" s="30"/>
      <c r="P249" s="31"/>
      <c r="Q249" s="355">
        <f t="shared" ref="Q249:AJ249" si="57">SUM(Q246:Q248)</f>
        <v>0</v>
      </c>
      <c r="R249" s="355">
        <f t="shared" si="57"/>
        <v>0</v>
      </c>
      <c r="S249" s="355">
        <f t="shared" si="57"/>
        <v>0</v>
      </c>
      <c r="T249" s="355">
        <f t="shared" si="57"/>
        <v>0</v>
      </c>
      <c r="U249" s="355">
        <f t="shared" si="57"/>
        <v>0</v>
      </c>
      <c r="V249" s="355">
        <f t="shared" si="57"/>
        <v>0</v>
      </c>
      <c r="W249" s="355">
        <f t="shared" si="57"/>
        <v>0</v>
      </c>
      <c r="X249" s="355">
        <f t="shared" si="57"/>
        <v>0</v>
      </c>
      <c r="Y249" s="355">
        <f t="shared" si="57"/>
        <v>0</v>
      </c>
      <c r="Z249" s="355">
        <f t="shared" si="57"/>
        <v>0</v>
      </c>
      <c r="AA249" s="355">
        <f t="shared" si="57"/>
        <v>0</v>
      </c>
      <c r="AB249" s="355">
        <f t="shared" si="57"/>
        <v>0</v>
      </c>
      <c r="AC249" s="355">
        <f t="shared" si="57"/>
        <v>0</v>
      </c>
      <c r="AD249" s="355">
        <f t="shared" si="57"/>
        <v>0</v>
      </c>
      <c r="AE249" s="355">
        <f t="shared" si="57"/>
        <v>0</v>
      </c>
      <c r="AF249" s="355">
        <f t="shared" si="57"/>
        <v>335840000</v>
      </c>
      <c r="AG249" s="355">
        <f t="shared" si="57"/>
        <v>0</v>
      </c>
      <c r="AH249" s="355">
        <f t="shared" si="57"/>
        <v>0</v>
      </c>
      <c r="AI249" s="355">
        <f t="shared" si="57"/>
        <v>0</v>
      </c>
      <c r="AJ249" s="355">
        <f t="shared" si="57"/>
        <v>0</v>
      </c>
      <c r="AK249" s="355">
        <f>SUM(AK246:AK248)</f>
        <v>335840000</v>
      </c>
    </row>
    <row r="250" spans="1:37" ht="30" customHeight="1" x14ac:dyDescent="0.2">
      <c r="A250" s="16"/>
      <c r="B250" s="68"/>
      <c r="C250" s="35"/>
      <c r="D250" s="34"/>
      <c r="E250" s="35"/>
      <c r="F250" s="35"/>
      <c r="G250" s="34"/>
      <c r="H250" s="35"/>
      <c r="I250" s="34"/>
      <c r="J250" s="35"/>
      <c r="K250" s="188"/>
      <c r="L250" s="188"/>
      <c r="M250" s="34"/>
      <c r="N250" s="35"/>
      <c r="O250" s="34"/>
      <c r="P250" s="35"/>
      <c r="Q250" s="361">
        <f t="shared" ref="Q250:AJ250" si="58">Q249+Q243+Q236</f>
        <v>0</v>
      </c>
      <c r="R250" s="361">
        <f t="shared" si="58"/>
        <v>0</v>
      </c>
      <c r="S250" s="361">
        <f t="shared" si="58"/>
        <v>0</v>
      </c>
      <c r="T250" s="361">
        <f t="shared" si="58"/>
        <v>0</v>
      </c>
      <c r="U250" s="361">
        <f t="shared" si="58"/>
        <v>0</v>
      </c>
      <c r="V250" s="361">
        <f t="shared" si="58"/>
        <v>0</v>
      </c>
      <c r="W250" s="361">
        <f t="shared" si="58"/>
        <v>0</v>
      </c>
      <c r="X250" s="361">
        <f t="shared" si="58"/>
        <v>0</v>
      </c>
      <c r="Y250" s="361">
        <f t="shared" si="58"/>
        <v>0</v>
      </c>
      <c r="Z250" s="361">
        <f t="shared" si="58"/>
        <v>0</v>
      </c>
      <c r="AA250" s="361">
        <f t="shared" si="58"/>
        <v>0</v>
      </c>
      <c r="AB250" s="361">
        <f t="shared" si="58"/>
        <v>0</v>
      </c>
      <c r="AC250" s="361">
        <f t="shared" si="58"/>
        <v>0</v>
      </c>
      <c r="AD250" s="361">
        <f t="shared" si="58"/>
        <v>0</v>
      </c>
      <c r="AE250" s="361">
        <f t="shared" si="58"/>
        <v>0</v>
      </c>
      <c r="AF250" s="361">
        <f t="shared" si="58"/>
        <v>986360000</v>
      </c>
      <c r="AG250" s="361">
        <f t="shared" si="58"/>
        <v>0</v>
      </c>
      <c r="AH250" s="361">
        <f t="shared" si="58"/>
        <v>0</v>
      </c>
      <c r="AI250" s="361">
        <f t="shared" si="58"/>
        <v>0</v>
      </c>
      <c r="AJ250" s="361">
        <f t="shared" si="58"/>
        <v>0</v>
      </c>
      <c r="AK250" s="361">
        <f>AK249+AK243+AK236</f>
        <v>986360000</v>
      </c>
    </row>
    <row r="251" spans="1:37" ht="30" customHeight="1" x14ac:dyDescent="0.2">
      <c r="A251" s="16"/>
      <c r="B251" s="54"/>
      <c r="C251" s="105"/>
      <c r="D251" s="44"/>
      <c r="E251" s="116"/>
      <c r="F251" s="663"/>
      <c r="G251" s="665"/>
      <c r="H251" s="673"/>
      <c r="I251" s="665"/>
      <c r="J251" s="673"/>
      <c r="K251" s="182"/>
      <c r="L251" s="182"/>
      <c r="M251" s="665"/>
      <c r="N251" s="673"/>
      <c r="O251" s="665"/>
      <c r="P251" s="673"/>
      <c r="Q251" s="346"/>
      <c r="R251" s="346"/>
      <c r="S251" s="346"/>
      <c r="T251" s="346"/>
      <c r="U251" s="346"/>
      <c r="V251" s="346"/>
      <c r="W251" s="346"/>
      <c r="X251" s="346"/>
      <c r="Y251" s="346"/>
      <c r="Z251" s="346"/>
      <c r="AA251" s="346"/>
      <c r="AB251" s="346"/>
      <c r="AC251" s="346"/>
      <c r="AD251" s="346"/>
      <c r="AE251" s="346"/>
      <c r="AF251" s="347"/>
      <c r="AG251" s="346"/>
      <c r="AH251" s="346"/>
      <c r="AI251" s="348"/>
      <c r="AJ251" s="348"/>
      <c r="AK251" s="348"/>
    </row>
    <row r="252" spans="1:37" ht="30" customHeight="1" x14ac:dyDescent="0.2">
      <c r="A252" s="16"/>
      <c r="B252" s="93">
        <v>3</v>
      </c>
      <c r="C252" s="11" t="s">
        <v>313</v>
      </c>
      <c r="D252" s="12"/>
      <c r="E252" s="12"/>
      <c r="F252" s="12"/>
      <c r="G252" s="12"/>
      <c r="H252" s="13"/>
      <c r="I252" s="12"/>
      <c r="J252" s="12"/>
      <c r="K252" s="189"/>
      <c r="L252" s="189"/>
      <c r="M252" s="579"/>
      <c r="N252" s="13"/>
      <c r="O252" s="12"/>
      <c r="P252" s="12"/>
      <c r="Q252" s="357"/>
      <c r="R252" s="357"/>
      <c r="S252" s="357"/>
      <c r="T252" s="357"/>
      <c r="U252" s="357"/>
      <c r="V252" s="357"/>
      <c r="W252" s="357"/>
      <c r="X252" s="357"/>
      <c r="Y252" s="357"/>
      <c r="Z252" s="357"/>
      <c r="AA252" s="357"/>
      <c r="AB252" s="357"/>
      <c r="AC252" s="357"/>
      <c r="AD252" s="357"/>
      <c r="AE252" s="357"/>
      <c r="AF252" s="358"/>
      <c r="AG252" s="357"/>
      <c r="AH252" s="357"/>
      <c r="AI252" s="357"/>
      <c r="AJ252" s="357"/>
      <c r="AK252" s="362"/>
    </row>
    <row r="253" spans="1:37" ht="30" customHeight="1" x14ac:dyDescent="0.2">
      <c r="A253" s="16"/>
      <c r="B253" s="17" t="s">
        <v>56</v>
      </c>
      <c r="C253" s="3"/>
      <c r="D253" s="465"/>
      <c r="E253" s="465"/>
      <c r="F253" s="465"/>
      <c r="G253" s="165">
        <v>11</v>
      </c>
      <c r="H253" s="78" t="s">
        <v>314</v>
      </c>
      <c r="I253" s="78"/>
      <c r="J253" s="78"/>
      <c r="K253" s="190"/>
      <c r="L253" s="190"/>
      <c r="M253" s="582"/>
      <c r="N253" s="336"/>
      <c r="O253" s="78"/>
      <c r="P253" s="78"/>
      <c r="Q253" s="363"/>
      <c r="R253" s="363"/>
      <c r="S253" s="363"/>
      <c r="T253" s="363"/>
      <c r="U253" s="363"/>
      <c r="V253" s="363"/>
      <c r="W253" s="363"/>
      <c r="X253" s="363"/>
      <c r="Y253" s="363"/>
      <c r="Z253" s="363"/>
      <c r="AA253" s="363"/>
      <c r="AB253" s="363"/>
      <c r="AC253" s="363"/>
      <c r="AD253" s="363"/>
      <c r="AE253" s="363"/>
      <c r="AF253" s="364"/>
      <c r="AG253" s="363"/>
      <c r="AH253" s="363"/>
      <c r="AI253" s="363"/>
      <c r="AJ253" s="363"/>
      <c r="AK253" s="365"/>
    </row>
    <row r="254" spans="1:37" ht="43.5" customHeight="1" x14ac:dyDescent="0.2">
      <c r="A254" s="16"/>
      <c r="B254" s="23"/>
      <c r="C254" s="732" t="s">
        <v>315</v>
      </c>
      <c r="D254" s="735" t="s">
        <v>316</v>
      </c>
      <c r="E254" s="732" t="s">
        <v>317</v>
      </c>
      <c r="F254" s="732" t="s">
        <v>318</v>
      </c>
      <c r="G254" s="649"/>
      <c r="H254" s="673">
        <v>50</v>
      </c>
      <c r="I254" s="665" t="s">
        <v>319</v>
      </c>
      <c r="J254" s="673" t="s">
        <v>32</v>
      </c>
      <c r="K254" s="133">
        <v>5</v>
      </c>
      <c r="L254" s="743">
        <v>2017003630047</v>
      </c>
      <c r="M254" s="734" t="s">
        <v>285</v>
      </c>
      <c r="N254" s="731" t="s">
        <v>320</v>
      </c>
      <c r="O254" s="734" t="s">
        <v>321</v>
      </c>
      <c r="P254" s="673" t="s">
        <v>54</v>
      </c>
      <c r="Q254" s="346">
        <v>0</v>
      </c>
      <c r="R254" s="346">
        <v>0</v>
      </c>
      <c r="S254" s="346">
        <v>0</v>
      </c>
      <c r="T254" s="346">
        <v>0</v>
      </c>
      <c r="U254" s="346">
        <v>0</v>
      </c>
      <c r="V254" s="346">
        <v>0</v>
      </c>
      <c r="W254" s="346">
        <v>0</v>
      </c>
      <c r="X254" s="346"/>
      <c r="Y254" s="346"/>
      <c r="Z254" s="346">
        <v>0</v>
      </c>
      <c r="AA254" s="346">
        <v>0</v>
      </c>
      <c r="AB254" s="346"/>
      <c r="AC254" s="346"/>
      <c r="AD254" s="346">
        <v>0</v>
      </c>
      <c r="AE254" s="346">
        <v>0</v>
      </c>
      <c r="AF254" s="347">
        <v>120000000</v>
      </c>
      <c r="AG254" s="347"/>
      <c r="AH254" s="346">
        <v>0</v>
      </c>
      <c r="AI254" s="348"/>
      <c r="AJ254" s="348"/>
      <c r="AK254" s="346">
        <f>Q254+R254+S254+T254+U254+V254+W254+X254+Y254+Z254+AA254+AB254+AC254+AD254+AE254+AF254+AG254+AH254+AI254+AJ254</f>
        <v>120000000</v>
      </c>
    </row>
    <row r="255" spans="1:37" ht="43.5" customHeight="1" x14ac:dyDescent="0.2">
      <c r="A255" s="16"/>
      <c r="B255" s="23"/>
      <c r="C255" s="732"/>
      <c r="D255" s="735"/>
      <c r="E255" s="732"/>
      <c r="F255" s="732"/>
      <c r="G255" s="649"/>
      <c r="H255" s="663">
        <v>51</v>
      </c>
      <c r="I255" s="665" t="s">
        <v>322</v>
      </c>
      <c r="J255" s="673">
        <v>0</v>
      </c>
      <c r="K255" s="132">
        <v>1</v>
      </c>
      <c r="L255" s="745"/>
      <c r="M255" s="736"/>
      <c r="N255" s="733"/>
      <c r="O255" s="736"/>
      <c r="P255" s="673" t="s">
        <v>41</v>
      </c>
      <c r="Q255" s="346"/>
      <c r="R255" s="346"/>
      <c r="S255" s="346"/>
      <c r="T255" s="346"/>
      <c r="U255" s="346"/>
      <c r="V255" s="346"/>
      <c r="W255" s="346"/>
      <c r="X255" s="346"/>
      <c r="Y255" s="346"/>
      <c r="Z255" s="346"/>
      <c r="AA255" s="346"/>
      <c r="AB255" s="346"/>
      <c r="AC255" s="346"/>
      <c r="AD255" s="346"/>
      <c r="AE255" s="346"/>
      <c r="AF255" s="347">
        <v>30000000</v>
      </c>
      <c r="AG255" s="347"/>
      <c r="AH255" s="346"/>
      <c r="AI255" s="348"/>
      <c r="AJ255" s="348"/>
      <c r="AK255" s="346">
        <f>Q255+R255+S255+T255+U255+V255+W255+X255+Y255+Z255+AA255+AB255+AC255+AD255+AE255+AF255+AG255+AH255+AI255+AJ255</f>
        <v>30000000</v>
      </c>
    </row>
    <row r="256" spans="1:37" ht="30" customHeight="1" x14ac:dyDescent="0.2">
      <c r="A256" s="16"/>
      <c r="B256" s="23"/>
      <c r="C256" s="649"/>
      <c r="D256" s="644"/>
      <c r="E256" s="649"/>
      <c r="F256" s="649"/>
      <c r="G256" s="30"/>
      <c r="H256" s="31"/>
      <c r="I256" s="30"/>
      <c r="J256" s="31"/>
      <c r="K256" s="154"/>
      <c r="L256" s="154"/>
      <c r="M256" s="30"/>
      <c r="N256" s="31"/>
      <c r="O256" s="30"/>
      <c r="P256" s="31"/>
      <c r="Q256" s="355">
        <f t="shared" ref="Q256:AJ256" si="59">SUM(Q254:Q255)</f>
        <v>0</v>
      </c>
      <c r="R256" s="355">
        <f t="shared" si="59"/>
        <v>0</v>
      </c>
      <c r="S256" s="355">
        <f t="shared" si="59"/>
        <v>0</v>
      </c>
      <c r="T256" s="355">
        <f t="shared" si="59"/>
        <v>0</v>
      </c>
      <c r="U256" s="355">
        <f t="shared" si="59"/>
        <v>0</v>
      </c>
      <c r="V256" s="355">
        <f t="shared" si="59"/>
        <v>0</v>
      </c>
      <c r="W256" s="355">
        <f t="shared" si="59"/>
        <v>0</v>
      </c>
      <c r="X256" s="355">
        <f t="shared" si="59"/>
        <v>0</v>
      </c>
      <c r="Y256" s="355">
        <f t="shared" si="59"/>
        <v>0</v>
      </c>
      <c r="Z256" s="355">
        <f t="shared" si="59"/>
        <v>0</v>
      </c>
      <c r="AA256" s="355">
        <f t="shared" si="59"/>
        <v>0</v>
      </c>
      <c r="AB256" s="355">
        <f t="shared" si="59"/>
        <v>0</v>
      </c>
      <c r="AC256" s="355">
        <f t="shared" si="59"/>
        <v>0</v>
      </c>
      <c r="AD256" s="355">
        <f t="shared" si="59"/>
        <v>0</v>
      </c>
      <c r="AE256" s="355">
        <f t="shared" si="59"/>
        <v>0</v>
      </c>
      <c r="AF256" s="355">
        <f t="shared" si="59"/>
        <v>150000000</v>
      </c>
      <c r="AG256" s="355">
        <f t="shared" si="59"/>
        <v>0</v>
      </c>
      <c r="AH256" s="355">
        <f t="shared" si="59"/>
        <v>0</v>
      </c>
      <c r="AI256" s="355">
        <f t="shared" si="59"/>
        <v>0</v>
      </c>
      <c r="AJ256" s="355">
        <f t="shared" si="59"/>
        <v>0</v>
      </c>
      <c r="AK256" s="355">
        <f>SUM(AK254:AK255)</f>
        <v>150000000</v>
      </c>
    </row>
    <row r="257" spans="1:37" ht="30" customHeight="1" x14ac:dyDescent="0.2">
      <c r="A257" s="16"/>
      <c r="B257" s="23"/>
      <c r="C257" s="116"/>
      <c r="D257" s="44"/>
      <c r="E257" s="116"/>
      <c r="F257" s="116"/>
      <c r="G257" s="44"/>
      <c r="H257" s="116"/>
      <c r="I257" s="44"/>
      <c r="J257" s="116"/>
      <c r="K257" s="158"/>
      <c r="L257" s="158"/>
      <c r="M257" s="44"/>
      <c r="N257" s="116"/>
      <c r="O257" s="44"/>
      <c r="P257" s="116"/>
      <c r="Q257" s="350"/>
      <c r="R257" s="351"/>
      <c r="S257" s="350"/>
      <c r="T257" s="350"/>
      <c r="U257" s="350"/>
      <c r="V257" s="350"/>
      <c r="W257" s="350"/>
      <c r="X257" s="350"/>
      <c r="Y257" s="350"/>
      <c r="Z257" s="350"/>
      <c r="AA257" s="350"/>
      <c r="AB257" s="350"/>
      <c r="AC257" s="350"/>
      <c r="AD257" s="350"/>
      <c r="AE257" s="350"/>
      <c r="AF257" s="685" t="s">
        <v>56</v>
      </c>
      <c r="AG257" s="687"/>
      <c r="AH257" s="350"/>
      <c r="AI257" s="350"/>
      <c r="AJ257" s="350"/>
      <c r="AK257" s="354"/>
    </row>
    <row r="258" spans="1:37" ht="30" customHeight="1" x14ac:dyDescent="0.2">
      <c r="A258" s="16"/>
      <c r="B258" s="23"/>
      <c r="C258" s="648"/>
      <c r="D258" s="642"/>
      <c r="E258" s="648"/>
      <c r="F258" s="648"/>
      <c r="G258" s="108">
        <v>12</v>
      </c>
      <c r="H258" s="135" t="s">
        <v>323</v>
      </c>
      <c r="I258" s="52"/>
      <c r="J258" s="52"/>
      <c r="K258" s="119"/>
      <c r="L258" s="119"/>
      <c r="M258" s="581"/>
      <c r="N258" s="136"/>
      <c r="O258" s="52"/>
      <c r="P258" s="52"/>
      <c r="Q258" s="231"/>
      <c r="R258" s="231"/>
      <c r="S258" s="692"/>
      <c r="T258" s="692"/>
      <c r="U258" s="692"/>
      <c r="V258" s="692"/>
      <c r="W258" s="692"/>
      <c r="X258" s="692"/>
      <c r="Y258" s="692"/>
      <c r="Z258" s="692"/>
      <c r="AA258" s="692"/>
      <c r="AB258" s="692"/>
      <c r="AC258" s="692"/>
      <c r="AD258" s="692"/>
      <c r="AE258" s="692"/>
      <c r="AF258" s="359"/>
      <c r="AG258" s="692"/>
      <c r="AH258" s="692"/>
      <c r="AI258" s="692"/>
      <c r="AJ258" s="692"/>
      <c r="AK258" s="400"/>
    </row>
    <row r="259" spans="1:37" ht="57" customHeight="1" x14ac:dyDescent="0.2">
      <c r="A259" s="16"/>
      <c r="B259" s="23"/>
      <c r="C259" s="638" t="s">
        <v>315</v>
      </c>
      <c r="D259" s="643" t="s">
        <v>316</v>
      </c>
      <c r="E259" s="638" t="s">
        <v>317</v>
      </c>
      <c r="F259" s="638" t="s">
        <v>318</v>
      </c>
      <c r="G259" s="648"/>
      <c r="H259" s="673">
        <v>52</v>
      </c>
      <c r="I259" s="665" t="s">
        <v>324</v>
      </c>
      <c r="J259" s="673">
        <v>0</v>
      </c>
      <c r="K259" s="132">
        <v>3</v>
      </c>
      <c r="L259" s="20">
        <v>2017003630048</v>
      </c>
      <c r="M259" s="665" t="s">
        <v>285</v>
      </c>
      <c r="N259" s="673" t="s">
        <v>325</v>
      </c>
      <c r="O259" s="665" t="s">
        <v>881</v>
      </c>
      <c r="P259" s="673" t="s">
        <v>41</v>
      </c>
      <c r="Q259" s="346">
        <v>0</v>
      </c>
      <c r="R259" s="346">
        <v>0</v>
      </c>
      <c r="S259" s="346">
        <v>0</v>
      </c>
      <c r="T259" s="346">
        <v>0</v>
      </c>
      <c r="U259" s="346">
        <v>0</v>
      </c>
      <c r="V259" s="346">
        <v>0</v>
      </c>
      <c r="W259" s="346">
        <v>0</v>
      </c>
      <c r="X259" s="346"/>
      <c r="Y259" s="346"/>
      <c r="Z259" s="346">
        <v>0</v>
      </c>
      <c r="AA259" s="346">
        <v>0</v>
      </c>
      <c r="AB259" s="346"/>
      <c r="AC259" s="346"/>
      <c r="AD259" s="346">
        <v>0</v>
      </c>
      <c r="AE259" s="346">
        <v>0</v>
      </c>
      <c r="AF259" s="347">
        <f>120000000+136640000</f>
        <v>256640000</v>
      </c>
      <c r="AG259" s="347"/>
      <c r="AH259" s="346"/>
      <c r="AI259" s="348"/>
      <c r="AJ259" s="348">
        <v>0</v>
      </c>
      <c r="AK259" s="346">
        <f>Q259+R259+S259+T259+U259+V259+W259+X259+Y259+Z259+AA259+AB259+AC259+AD259+AE259+AF259+AG259+AH259+AI259+AJ259</f>
        <v>256640000</v>
      </c>
    </row>
    <row r="260" spans="1:37" s="14" customFormat="1" ht="30" customHeight="1" x14ac:dyDescent="0.25">
      <c r="A260" s="16"/>
      <c r="B260" s="23"/>
      <c r="C260" s="649"/>
      <c r="D260" s="644"/>
      <c r="E260" s="649"/>
      <c r="F260" s="649"/>
      <c r="G260" s="30"/>
      <c r="H260" s="31"/>
      <c r="I260" s="30"/>
      <c r="J260" s="31"/>
      <c r="K260" s="185"/>
      <c r="L260" s="185"/>
      <c r="M260" s="30"/>
      <c r="N260" s="31"/>
      <c r="O260" s="30"/>
      <c r="P260" s="31"/>
      <c r="Q260" s="355">
        <f t="shared" ref="Q260:AK260" si="60">SUM(Q259:Q259)</f>
        <v>0</v>
      </c>
      <c r="R260" s="355">
        <f t="shared" si="60"/>
        <v>0</v>
      </c>
      <c r="S260" s="355">
        <f t="shared" si="60"/>
        <v>0</v>
      </c>
      <c r="T260" s="355">
        <f t="shared" si="60"/>
        <v>0</v>
      </c>
      <c r="U260" s="355">
        <f t="shared" si="60"/>
        <v>0</v>
      </c>
      <c r="V260" s="355">
        <f t="shared" si="60"/>
        <v>0</v>
      </c>
      <c r="W260" s="355">
        <f t="shared" si="60"/>
        <v>0</v>
      </c>
      <c r="X260" s="355">
        <f t="shared" si="60"/>
        <v>0</v>
      </c>
      <c r="Y260" s="355">
        <f t="shared" si="60"/>
        <v>0</v>
      </c>
      <c r="Z260" s="355">
        <f t="shared" si="60"/>
        <v>0</v>
      </c>
      <c r="AA260" s="355">
        <f t="shared" si="60"/>
        <v>0</v>
      </c>
      <c r="AB260" s="355">
        <f t="shared" si="60"/>
        <v>0</v>
      </c>
      <c r="AC260" s="355">
        <f t="shared" si="60"/>
        <v>0</v>
      </c>
      <c r="AD260" s="355">
        <f t="shared" si="60"/>
        <v>0</v>
      </c>
      <c r="AE260" s="355">
        <f t="shared" si="60"/>
        <v>0</v>
      </c>
      <c r="AF260" s="355">
        <f t="shared" si="60"/>
        <v>256640000</v>
      </c>
      <c r="AG260" s="355">
        <f t="shared" si="60"/>
        <v>0</v>
      </c>
      <c r="AH260" s="355">
        <f t="shared" si="60"/>
        <v>0</v>
      </c>
      <c r="AI260" s="355">
        <f t="shared" si="60"/>
        <v>0</v>
      </c>
      <c r="AJ260" s="355">
        <f t="shared" si="60"/>
        <v>0</v>
      </c>
      <c r="AK260" s="355">
        <f t="shared" si="60"/>
        <v>256640000</v>
      </c>
    </row>
    <row r="261" spans="1:37" s="14" customFormat="1" ht="30" customHeight="1" x14ac:dyDescent="0.25">
      <c r="A261" s="16"/>
      <c r="B261" s="23"/>
      <c r="C261" s="116"/>
      <c r="D261" s="44"/>
      <c r="E261" s="116"/>
      <c r="F261" s="116"/>
      <c r="G261" s="44"/>
      <c r="H261" s="116"/>
      <c r="I261" s="44"/>
      <c r="J261" s="116"/>
      <c r="K261" s="186"/>
      <c r="L261" s="186"/>
      <c r="M261" s="44"/>
      <c r="N261" s="116"/>
      <c r="O261" s="44"/>
      <c r="P261" s="116"/>
      <c r="Q261" s="350"/>
      <c r="R261" s="351"/>
      <c r="S261" s="350"/>
      <c r="T261" s="350"/>
      <c r="U261" s="350"/>
      <c r="V261" s="350"/>
      <c r="W261" s="350"/>
      <c r="X261" s="350"/>
      <c r="Y261" s="350"/>
      <c r="Z261" s="350"/>
      <c r="AA261" s="350"/>
      <c r="AB261" s="350"/>
      <c r="AC261" s="350"/>
      <c r="AD261" s="350"/>
      <c r="AE261" s="350"/>
      <c r="AF261" s="352"/>
      <c r="AG261" s="353"/>
      <c r="AH261" s="350"/>
      <c r="AI261" s="350"/>
      <c r="AJ261" s="350"/>
      <c r="AK261" s="354"/>
    </row>
    <row r="262" spans="1:37" s="14" customFormat="1" ht="30" customHeight="1" x14ac:dyDescent="0.25">
      <c r="A262" s="16"/>
      <c r="B262" s="23"/>
      <c r="C262" s="648"/>
      <c r="D262" s="642"/>
      <c r="E262" s="648"/>
      <c r="F262" s="648"/>
      <c r="G262" s="50">
        <v>13</v>
      </c>
      <c r="H262" s="136" t="s">
        <v>326</v>
      </c>
      <c r="I262" s="52"/>
      <c r="J262" s="52"/>
      <c r="K262" s="184"/>
      <c r="L262" s="184"/>
      <c r="M262" s="581"/>
      <c r="N262" s="136"/>
      <c r="O262" s="52"/>
      <c r="P262" s="52"/>
      <c r="Q262" s="231"/>
      <c r="R262" s="231"/>
      <c r="S262" s="231"/>
      <c r="T262" s="231"/>
      <c r="U262" s="231"/>
      <c r="V262" s="231"/>
      <c r="W262" s="231"/>
      <c r="X262" s="231"/>
      <c r="Y262" s="231"/>
      <c r="Z262" s="231"/>
      <c r="AA262" s="231"/>
      <c r="AB262" s="231"/>
      <c r="AC262" s="231"/>
      <c r="AD262" s="231"/>
      <c r="AE262" s="231"/>
      <c r="AF262" s="359"/>
      <c r="AG262" s="231"/>
      <c r="AH262" s="231"/>
      <c r="AI262" s="231"/>
      <c r="AJ262" s="231"/>
      <c r="AK262" s="233"/>
    </row>
    <row r="263" spans="1:37" s="532" customFormat="1" ht="62.25" customHeight="1" x14ac:dyDescent="0.25">
      <c r="A263" s="16"/>
      <c r="B263" s="23"/>
      <c r="C263" s="638" t="s">
        <v>315</v>
      </c>
      <c r="D263" s="643" t="s">
        <v>316</v>
      </c>
      <c r="E263" s="638" t="s">
        <v>317</v>
      </c>
      <c r="F263" s="638" t="s">
        <v>318</v>
      </c>
      <c r="G263" s="17"/>
      <c r="H263" s="673">
        <v>53</v>
      </c>
      <c r="I263" s="665" t="s">
        <v>327</v>
      </c>
      <c r="J263" s="673">
        <v>0</v>
      </c>
      <c r="K263" s="132">
        <v>1</v>
      </c>
      <c r="L263" s="20">
        <v>2017003630049</v>
      </c>
      <c r="M263" s="665" t="s">
        <v>285</v>
      </c>
      <c r="N263" s="673" t="s">
        <v>328</v>
      </c>
      <c r="O263" s="665" t="s">
        <v>882</v>
      </c>
      <c r="P263" s="673" t="s">
        <v>41</v>
      </c>
      <c r="Q263" s="346">
        <v>0</v>
      </c>
      <c r="R263" s="346">
        <v>0</v>
      </c>
      <c r="S263" s="346">
        <v>0</v>
      </c>
      <c r="T263" s="346">
        <v>0</v>
      </c>
      <c r="U263" s="346">
        <v>0</v>
      </c>
      <c r="V263" s="346">
        <v>0</v>
      </c>
      <c r="W263" s="346">
        <v>0</v>
      </c>
      <c r="X263" s="346"/>
      <c r="Y263" s="346"/>
      <c r="Z263" s="346">
        <v>0</v>
      </c>
      <c r="AA263" s="346">
        <v>0</v>
      </c>
      <c r="AB263" s="346"/>
      <c r="AC263" s="346"/>
      <c r="AD263" s="346">
        <v>0</v>
      </c>
      <c r="AE263" s="346">
        <v>0</v>
      </c>
      <c r="AF263" s="613">
        <f>250000000+165000000+28618786+100000000</f>
        <v>543618786</v>
      </c>
      <c r="AG263" s="360"/>
      <c r="AH263" s="347">
        <f>512000000+33094912</f>
        <v>545094912</v>
      </c>
      <c r="AI263" s="349"/>
      <c r="AJ263" s="349"/>
      <c r="AK263" s="346">
        <f>Q263+R263+S263+T263+U263+V263+W263+X263+Y263+Z263+AA263+AB263+AC263+AD263+AE263+AF263+AG263+AH263+AI263+AJ263</f>
        <v>1088713698</v>
      </c>
    </row>
    <row r="264" spans="1:37" ht="30" customHeight="1" x14ac:dyDescent="0.2">
      <c r="A264" s="16"/>
      <c r="B264" s="65"/>
      <c r="C264" s="649"/>
      <c r="D264" s="644"/>
      <c r="E264" s="649"/>
      <c r="F264" s="649"/>
      <c r="G264" s="30"/>
      <c r="H264" s="31"/>
      <c r="I264" s="30"/>
      <c r="J264" s="31"/>
      <c r="K264" s="185"/>
      <c r="L264" s="185"/>
      <c r="M264" s="30"/>
      <c r="N264" s="31"/>
      <c r="O264" s="30"/>
      <c r="P264" s="31"/>
      <c r="Q264" s="355">
        <f t="shared" ref="Q264:AK264" si="61">SUM(Q263:Q263)</f>
        <v>0</v>
      </c>
      <c r="R264" s="355">
        <f t="shared" si="61"/>
        <v>0</v>
      </c>
      <c r="S264" s="355">
        <f t="shared" si="61"/>
        <v>0</v>
      </c>
      <c r="T264" s="355">
        <f t="shared" si="61"/>
        <v>0</v>
      </c>
      <c r="U264" s="355">
        <f t="shared" si="61"/>
        <v>0</v>
      </c>
      <c r="V264" s="355">
        <f t="shared" si="61"/>
        <v>0</v>
      </c>
      <c r="W264" s="355">
        <f t="shared" si="61"/>
        <v>0</v>
      </c>
      <c r="X264" s="355">
        <f t="shared" si="61"/>
        <v>0</v>
      </c>
      <c r="Y264" s="355">
        <f t="shared" si="61"/>
        <v>0</v>
      </c>
      <c r="Z264" s="355">
        <f t="shared" si="61"/>
        <v>0</v>
      </c>
      <c r="AA264" s="355">
        <f t="shared" si="61"/>
        <v>0</v>
      </c>
      <c r="AB264" s="355">
        <f t="shared" si="61"/>
        <v>0</v>
      </c>
      <c r="AC264" s="355">
        <f t="shared" si="61"/>
        <v>0</v>
      </c>
      <c r="AD264" s="355">
        <f t="shared" si="61"/>
        <v>0</v>
      </c>
      <c r="AE264" s="355">
        <f t="shared" si="61"/>
        <v>0</v>
      </c>
      <c r="AF264" s="355">
        <f t="shared" si="61"/>
        <v>543618786</v>
      </c>
      <c r="AG264" s="355">
        <f t="shared" si="61"/>
        <v>0</v>
      </c>
      <c r="AH264" s="355">
        <f t="shared" si="61"/>
        <v>545094912</v>
      </c>
      <c r="AI264" s="355">
        <f t="shared" si="61"/>
        <v>0</v>
      </c>
      <c r="AJ264" s="355">
        <f t="shared" si="61"/>
        <v>0</v>
      </c>
      <c r="AK264" s="355">
        <f t="shared" si="61"/>
        <v>1088713698</v>
      </c>
    </row>
    <row r="265" spans="1:37" ht="30" customHeight="1" x14ac:dyDescent="0.2">
      <c r="A265" s="29"/>
      <c r="B265" s="68"/>
      <c r="C265" s="35"/>
      <c r="D265" s="34"/>
      <c r="E265" s="35"/>
      <c r="F265" s="35"/>
      <c r="G265" s="34"/>
      <c r="H265" s="35"/>
      <c r="I265" s="34"/>
      <c r="J265" s="35"/>
      <c r="K265" s="188"/>
      <c r="L265" s="188"/>
      <c r="M265" s="34"/>
      <c r="N265" s="35"/>
      <c r="O265" s="34"/>
      <c r="P265" s="35"/>
      <c r="Q265" s="361">
        <f t="shared" ref="Q265:AJ265" si="62">Q264+Q260+Q256</f>
        <v>0</v>
      </c>
      <c r="R265" s="361">
        <f t="shared" si="62"/>
        <v>0</v>
      </c>
      <c r="S265" s="361">
        <f t="shared" si="62"/>
        <v>0</v>
      </c>
      <c r="T265" s="361">
        <f t="shared" si="62"/>
        <v>0</v>
      </c>
      <c r="U265" s="361">
        <f t="shared" si="62"/>
        <v>0</v>
      </c>
      <c r="V265" s="361">
        <f t="shared" si="62"/>
        <v>0</v>
      </c>
      <c r="W265" s="361">
        <f t="shared" si="62"/>
        <v>0</v>
      </c>
      <c r="X265" s="361">
        <f t="shared" si="62"/>
        <v>0</v>
      </c>
      <c r="Y265" s="361">
        <f t="shared" si="62"/>
        <v>0</v>
      </c>
      <c r="Z265" s="361">
        <f t="shared" si="62"/>
        <v>0</v>
      </c>
      <c r="AA265" s="361">
        <f t="shared" si="62"/>
        <v>0</v>
      </c>
      <c r="AB265" s="361">
        <f t="shared" si="62"/>
        <v>0</v>
      </c>
      <c r="AC265" s="361">
        <f t="shared" si="62"/>
        <v>0</v>
      </c>
      <c r="AD265" s="361">
        <f t="shared" si="62"/>
        <v>0</v>
      </c>
      <c r="AE265" s="361">
        <f t="shared" si="62"/>
        <v>0</v>
      </c>
      <c r="AF265" s="361">
        <f t="shared" si="62"/>
        <v>950258786</v>
      </c>
      <c r="AG265" s="361">
        <f t="shared" si="62"/>
        <v>0</v>
      </c>
      <c r="AH265" s="361">
        <f t="shared" si="62"/>
        <v>545094912</v>
      </c>
      <c r="AI265" s="361">
        <f t="shared" si="62"/>
        <v>0</v>
      </c>
      <c r="AJ265" s="361">
        <f t="shared" si="62"/>
        <v>0</v>
      </c>
      <c r="AK265" s="361">
        <f>AK264+AK260+AK256</f>
        <v>1495353698</v>
      </c>
    </row>
    <row r="266" spans="1:37" ht="30" customHeight="1" x14ac:dyDescent="0.2">
      <c r="A266" s="37"/>
      <c r="B266" s="37"/>
      <c r="C266" s="38"/>
      <c r="D266" s="37"/>
      <c r="E266" s="38"/>
      <c r="F266" s="38"/>
      <c r="G266" s="37"/>
      <c r="H266" s="38"/>
      <c r="I266" s="37"/>
      <c r="J266" s="38"/>
      <c r="K266" s="191"/>
      <c r="L266" s="191"/>
      <c r="M266" s="37"/>
      <c r="N266" s="38"/>
      <c r="O266" s="37"/>
      <c r="P266" s="38"/>
      <c r="Q266" s="367">
        <f t="shared" ref="Q266:AK266" si="63">Q265+Q250</f>
        <v>0</v>
      </c>
      <c r="R266" s="367">
        <f t="shared" si="63"/>
        <v>0</v>
      </c>
      <c r="S266" s="367">
        <f t="shared" si="63"/>
        <v>0</v>
      </c>
      <c r="T266" s="367">
        <f t="shared" si="63"/>
        <v>0</v>
      </c>
      <c r="U266" s="367">
        <f t="shared" si="63"/>
        <v>0</v>
      </c>
      <c r="V266" s="367">
        <f t="shared" si="63"/>
        <v>0</v>
      </c>
      <c r="W266" s="367">
        <f t="shared" si="63"/>
        <v>0</v>
      </c>
      <c r="X266" s="367">
        <f t="shared" si="63"/>
        <v>0</v>
      </c>
      <c r="Y266" s="367">
        <f t="shared" si="63"/>
        <v>0</v>
      </c>
      <c r="Z266" s="367">
        <f t="shared" si="63"/>
        <v>0</v>
      </c>
      <c r="AA266" s="367">
        <f t="shared" si="63"/>
        <v>0</v>
      </c>
      <c r="AB266" s="367">
        <f t="shared" si="63"/>
        <v>0</v>
      </c>
      <c r="AC266" s="367">
        <f t="shared" si="63"/>
        <v>0</v>
      </c>
      <c r="AD266" s="367">
        <f t="shared" si="63"/>
        <v>0</v>
      </c>
      <c r="AE266" s="367">
        <f t="shared" si="63"/>
        <v>0</v>
      </c>
      <c r="AF266" s="367">
        <f t="shared" si="63"/>
        <v>1936618786</v>
      </c>
      <c r="AG266" s="367">
        <f t="shared" si="63"/>
        <v>0</v>
      </c>
      <c r="AH266" s="367">
        <f t="shared" si="63"/>
        <v>545094912</v>
      </c>
      <c r="AI266" s="367">
        <f t="shared" si="63"/>
        <v>0</v>
      </c>
      <c r="AJ266" s="367">
        <f t="shared" si="63"/>
        <v>0</v>
      </c>
      <c r="AK266" s="367">
        <f t="shared" si="63"/>
        <v>2481713698</v>
      </c>
    </row>
    <row r="267" spans="1:37" ht="30" customHeight="1" x14ac:dyDescent="0.2">
      <c r="A267" s="40"/>
      <c r="B267" s="40"/>
      <c r="C267" s="41"/>
      <c r="D267" s="40"/>
      <c r="E267" s="41"/>
      <c r="F267" s="41"/>
      <c r="G267" s="40"/>
      <c r="H267" s="41"/>
      <c r="I267" s="40"/>
      <c r="J267" s="41"/>
      <c r="K267" s="192"/>
      <c r="L267" s="192"/>
      <c r="M267" s="40"/>
      <c r="N267" s="41"/>
      <c r="O267" s="40"/>
      <c r="P267" s="41"/>
      <c r="Q267" s="368">
        <f t="shared" ref="Q267:AK267" si="64">Q266</f>
        <v>0</v>
      </c>
      <c r="R267" s="368">
        <f t="shared" si="64"/>
        <v>0</v>
      </c>
      <c r="S267" s="368">
        <f t="shared" si="64"/>
        <v>0</v>
      </c>
      <c r="T267" s="368">
        <f t="shared" si="64"/>
        <v>0</v>
      </c>
      <c r="U267" s="368">
        <f t="shared" si="64"/>
        <v>0</v>
      </c>
      <c r="V267" s="368">
        <f t="shared" si="64"/>
        <v>0</v>
      </c>
      <c r="W267" s="368">
        <f t="shared" si="64"/>
        <v>0</v>
      </c>
      <c r="X267" s="368">
        <f t="shared" si="64"/>
        <v>0</v>
      </c>
      <c r="Y267" s="368">
        <f t="shared" si="64"/>
        <v>0</v>
      </c>
      <c r="Z267" s="368">
        <f t="shared" si="64"/>
        <v>0</v>
      </c>
      <c r="AA267" s="368">
        <f t="shared" si="64"/>
        <v>0</v>
      </c>
      <c r="AB267" s="368">
        <f t="shared" si="64"/>
        <v>0</v>
      </c>
      <c r="AC267" s="368">
        <f t="shared" si="64"/>
        <v>0</v>
      </c>
      <c r="AD267" s="368">
        <f t="shared" si="64"/>
        <v>0</v>
      </c>
      <c r="AE267" s="368">
        <f t="shared" si="64"/>
        <v>0</v>
      </c>
      <c r="AF267" s="368">
        <f t="shared" si="64"/>
        <v>1936618786</v>
      </c>
      <c r="AG267" s="368">
        <f t="shared" si="64"/>
        <v>0</v>
      </c>
      <c r="AH267" s="368">
        <f t="shared" si="64"/>
        <v>545094912</v>
      </c>
      <c r="AI267" s="368">
        <f t="shared" si="64"/>
        <v>0</v>
      </c>
      <c r="AJ267" s="368">
        <f t="shared" si="64"/>
        <v>0</v>
      </c>
      <c r="AK267" s="368">
        <f t="shared" si="64"/>
        <v>2481713698</v>
      </c>
    </row>
    <row r="268" spans="1:37" ht="30" customHeight="1" x14ac:dyDescent="0.2">
      <c r="A268" s="43"/>
      <c r="B268" s="44"/>
      <c r="C268" s="116"/>
      <c r="D268" s="44"/>
      <c r="E268" s="116"/>
      <c r="F268" s="116"/>
      <c r="G268" s="44"/>
      <c r="H268" s="116"/>
      <c r="I268" s="44"/>
      <c r="J268" s="116"/>
      <c r="K268" s="186"/>
      <c r="L268" s="186"/>
      <c r="M268" s="44"/>
      <c r="N268" s="116"/>
      <c r="O268" s="44"/>
      <c r="P268" s="116"/>
      <c r="Q268" s="350"/>
      <c r="R268" s="350"/>
      <c r="S268" s="350"/>
      <c r="T268" s="350"/>
      <c r="U268" s="350"/>
      <c r="V268" s="350"/>
      <c r="W268" s="350"/>
      <c r="X268" s="350"/>
      <c r="Y268" s="350"/>
      <c r="Z268" s="350"/>
      <c r="AA268" s="350"/>
      <c r="AB268" s="351"/>
      <c r="AC268" s="351"/>
      <c r="AD268" s="350"/>
      <c r="AE268" s="350"/>
      <c r="AF268" s="352"/>
      <c r="AG268" s="353"/>
      <c r="AH268" s="353"/>
      <c r="AI268" s="353"/>
      <c r="AJ268" s="353"/>
      <c r="AK268" s="353"/>
    </row>
    <row r="269" spans="1:37" ht="30" customHeight="1" x14ac:dyDescent="0.2">
      <c r="A269" s="4" t="s">
        <v>329</v>
      </c>
      <c r="B269" s="193"/>
      <c r="C269" s="194"/>
      <c r="D269" s="193"/>
      <c r="E269" s="193"/>
      <c r="F269" s="193"/>
      <c r="G269" s="193"/>
      <c r="H269" s="194"/>
      <c r="I269" s="193"/>
      <c r="J269" s="193"/>
      <c r="K269" s="195"/>
      <c r="L269" s="195"/>
      <c r="M269" s="590"/>
      <c r="N269" s="194"/>
      <c r="O269" s="193"/>
      <c r="P269" s="194"/>
      <c r="Q269" s="526"/>
      <c r="R269" s="526"/>
      <c r="S269" s="526"/>
      <c r="T269" s="526"/>
      <c r="U269" s="526"/>
      <c r="V269" s="526"/>
      <c r="W269" s="526"/>
      <c r="X269" s="526"/>
      <c r="Y269" s="526"/>
      <c r="Z269" s="526"/>
      <c r="AA269" s="526"/>
      <c r="AB269" s="526"/>
      <c r="AC269" s="526"/>
      <c r="AD269" s="526"/>
      <c r="AE269" s="526"/>
      <c r="AF269" s="527"/>
      <c r="AG269" s="528"/>
      <c r="AH269" s="526"/>
      <c r="AI269" s="526"/>
      <c r="AJ269" s="526"/>
      <c r="AK269" s="529"/>
    </row>
    <row r="270" spans="1:37" ht="30" customHeight="1" x14ac:dyDescent="0.2">
      <c r="A270" s="679">
        <v>1</v>
      </c>
      <c r="B270" s="7" t="s">
        <v>134</v>
      </c>
      <c r="C270" s="8"/>
      <c r="D270" s="7"/>
      <c r="E270" s="7"/>
      <c r="F270" s="7"/>
      <c r="G270" s="7"/>
      <c r="H270" s="8"/>
      <c r="I270" s="7"/>
      <c r="J270" s="7"/>
      <c r="K270" s="196"/>
      <c r="L270" s="196"/>
      <c r="M270" s="578"/>
      <c r="N270" s="8"/>
      <c r="O270" s="7"/>
      <c r="P270" s="7"/>
      <c r="Q270" s="376"/>
      <c r="R270" s="376"/>
      <c r="S270" s="376"/>
      <c r="T270" s="376"/>
      <c r="U270" s="376"/>
      <c r="V270" s="376"/>
      <c r="W270" s="376"/>
      <c r="X270" s="376"/>
      <c r="Y270" s="376"/>
      <c r="Z270" s="376"/>
      <c r="AA270" s="376"/>
      <c r="AB270" s="376"/>
      <c r="AC270" s="376"/>
      <c r="AD270" s="376"/>
      <c r="AE270" s="376"/>
      <c r="AF270" s="377"/>
      <c r="AG270" s="376"/>
      <c r="AH270" s="376"/>
      <c r="AI270" s="376"/>
      <c r="AJ270" s="376"/>
      <c r="AK270" s="378"/>
    </row>
    <row r="271" spans="1:37" ht="30" customHeight="1" x14ac:dyDescent="0.2">
      <c r="A271" s="48"/>
      <c r="B271" s="118">
        <v>1</v>
      </c>
      <c r="C271" s="11" t="s">
        <v>135</v>
      </c>
      <c r="D271" s="12"/>
      <c r="E271" s="12"/>
      <c r="F271" s="12"/>
      <c r="G271" s="12"/>
      <c r="H271" s="13"/>
      <c r="I271" s="12"/>
      <c r="J271" s="12"/>
      <c r="K271" s="189"/>
      <c r="L271" s="189"/>
      <c r="M271" s="579"/>
      <c r="N271" s="13"/>
      <c r="O271" s="12"/>
      <c r="P271" s="12"/>
      <c r="Q271" s="357"/>
      <c r="R271" s="357"/>
      <c r="S271" s="357"/>
      <c r="T271" s="357"/>
      <c r="U271" s="357"/>
      <c r="V271" s="357"/>
      <c r="W271" s="357"/>
      <c r="X271" s="357"/>
      <c r="Y271" s="357"/>
      <c r="Z271" s="357"/>
      <c r="AA271" s="357"/>
      <c r="AB271" s="357"/>
      <c r="AC271" s="357"/>
      <c r="AD271" s="357"/>
      <c r="AE271" s="357"/>
      <c r="AF271" s="358"/>
      <c r="AG271" s="357"/>
      <c r="AH271" s="357"/>
      <c r="AI271" s="357"/>
      <c r="AJ271" s="357"/>
      <c r="AK271" s="362"/>
    </row>
    <row r="272" spans="1:37" ht="30" customHeight="1" x14ac:dyDescent="0.2">
      <c r="A272" s="16"/>
      <c r="B272" s="48"/>
      <c r="C272" s="105"/>
      <c r="D272" s="44"/>
      <c r="E272" s="116"/>
      <c r="F272" s="663"/>
      <c r="G272" s="181">
        <v>1</v>
      </c>
      <c r="H272" s="51" t="s">
        <v>330</v>
      </c>
      <c r="I272" s="52"/>
      <c r="J272" s="52"/>
      <c r="K272" s="184"/>
      <c r="L272" s="184"/>
      <c r="M272" s="581"/>
      <c r="N272" s="136"/>
      <c r="O272" s="52"/>
      <c r="P272" s="52"/>
      <c r="Q272" s="231"/>
      <c r="R272" s="231"/>
      <c r="S272" s="231"/>
      <c r="T272" s="231"/>
      <c r="U272" s="231"/>
      <c r="V272" s="231"/>
      <c r="W272" s="231"/>
      <c r="X272" s="231"/>
      <c r="Y272" s="231"/>
      <c r="Z272" s="231"/>
      <c r="AA272" s="231"/>
      <c r="AB272" s="231"/>
      <c r="AC272" s="231"/>
      <c r="AD272" s="231"/>
      <c r="AE272" s="231"/>
      <c r="AF272" s="359"/>
      <c r="AG272" s="231"/>
      <c r="AH272" s="231"/>
      <c r="AI272" s="231"/>
      <c r="AJ272" s="231"/>
      <c r="AK272" s="233"/>
    </row>
    <row r="273" spans="1:37" ht="51.75" customHeight="1" x14ac:dyDescent="0.2">
      <c r="A273" s="16"/>
      <c r="B273" s="167"/>
      <c r="C273" s="638">
        <v>1</v>
      </c>
      <c r="D273" s="643" t="s">
        <v>331</v>
      </c>
      <c r="E273" s="197" t="s">
        <v>32</v>
      </c>
      <c r="F273" s="638">
        <v>15000</v>
      </c>
      <c r="G273" s="128"/>
      <c r="H273" s="673">
        <v>1</v>
      </c>
      <c r="I273" s="665" t="s">
        <v>332</v>
      </c>
      <c r="J273" s="673">
        <v>0</v>
      </c>
      <c r="K273" s="132">
        <v>1</v>
      </c>
      <c r="L273" s="743">
        <v>2017003630072</v>
      </c>
      <c r="M273" s="734" t="s">
        <v>333</v>
      </c>
      <c r="N273" s="731" t="s">
        <v>334</v>
      </c>
      <c r="O273" s="734" t="s">
        <v>335</v>
      </c>
      <c r="P273" s="673" t="s">
        <v>41</v>
      </c>
      <c r="Q273" s="346">
        <v>0</v>
      </c>
      <c r="R273" s="346">
        <v>0</v>
      </c>
      <c r="S273" s="346">
        <v>0</v>
      </c>
      <c r="T273" s="346">
        <v>0</v>
      </c>
      <c r="U273" s="346">
        <v>0</v>
      </c>
      <c r="V273" s="346">
        <v>0</v>
      </c>
      <c r="W273" s="346">
        <v>0</v>
      </c>
      <c r="X273" s="346"/>
      <c r="Y273" s="346"/>
      <c r="Z273" s="346">
        <v>0</v>
      </c>
      <c r="AA273" s="346">
        <v>0</v>
      </c>
      <c r="AB273" s="346"/>
      <c r="AC273" s="346"/>
      <c r="AD273" s="346">
        <v>0</v>
      </c>
      <c r="AE273" s="346">
        <v>0</v>
      </c>
      <c r="AF273" s="109">
        <f>19000000+1000000</f>
        <v>20000000</v>
      </c>
      <c r="AG273" s="109"/>
      <c r="AH273" s="346">
        <v>0</v>
      </c>
      <c r="AI273" s="348"/>
      <c r="AJ273" s="348">
        <v>0</v>
      </c>
      <c r="AK273" s="346">
        <f t="shared" ref="AK273:AK278" si="65">Q273+R273+S273+T273+U273+V273+W273+X273+Y273+Z273+AA273+AB273+AC273+AD273+AE273+AF273+AG273+AH273+AI273+AJ273</f>
        <v>20000000</v>
      </c>
    </row>
    <row r="274" spans="1:37" ht="51.75" customHeight="1" x14ac:dyDescent="0.2">
      <c r="A274" s="16"/>
      <c r="B274" s="167"/>
      <c r="C274" s="638">
        <v>2</v>
      </c>
      <c r="D274" s="643" t="s">
        <v>336</v>
      </c>
      <c r="E274" s="638" t="s">
        <v>337</v>
      </c>
      <c r="F274" s="638" t="s">
        <v>337</v>
      </c>
      <c r="G274" s="25"/>
      <c r="H274" s="673">
        <v>2</v>
      </c>
      <c r="I274" s="665" t="s">
        <v>338</v>
      </c>
      <c r="J274" s="673">
        <v>3</v>
      </c>
      <c r="K274" s="132">
        <v>4</v>
      </c>
      <c r="L274" s="744"/>
      <c r="M274" s="735"/>
      <c r="N274" s="732"/>
      <c r="O274" s="735"/>
      <c r="P274" s="673" t="s">
        <v>41</v>
      </c>
      <c r="Q274" s="346">
        <v>0</v>
      </c>
      <c r="R274" s="346">
        <v>0</v>
      </c>
      <c r="S274" s="346">
        <v>0</v>
      </c>
      <c r="T274" s="346">
        <v>0</v>
      </c>
      <c r="U274" s="346">
        <v>0</v>
      </c>
      <c r="V274" s="346">
        <v>0</v>
      </c>
      <c r="W274" s="346">
        <v>0</v>
      </c>
      <c r="X274" s="346"/>
      <c r="Y274" s="346"/>
      <c r="Z274" s="346">
        <v>0</v>
      </c>
      <c r="AA274" s="346">
        <v>0</v>
      </c>
      <c r="AB274" s="346"/>
      <c r="AC274" s="346"/>
      <c r="AD274" s="346">
        <v>0</v>
      </c>
      <c r="AE274" s="346">
        <v>0</v>
      </c>
      <c r="AF274" s="109">
        <v>10000000</v>
      </c>
      <c r="AG274" s="109"/>
      <c r="AH274" s="346">
        <v>0</v>
      </c>
      <c r="AI274" s="348"/>
      <c r="AJ274" s="348">
        <v>0</v>
      </c>
      <c r="AK274" s="346">
        <f t="shared" si="65"/>
        <v>10000000</v>
      </c>
    </row>
    <row r="275" spans="1:37" ht="51.75" customHeight="1" x14ac:dyDescent="0.2">
      <c r="A275" s="16"/>
      <c r="B275" s="167"/>
      <c r="C275" s="638"/>
      <c r="D275" s="643"/>
      <c r="E275" s="638"/>
      <c r="F275" s="638"/>
      <c r="G275" s="25"/>
      <c r="H275" s="673">
        <v>3</v>
      </c>
      <c r="I275" s="665" t="s">
        <v>339</v>
      </c>
      <c r="J275" s="673">
        <v>1</v>
      </c>
      <c r="K275" s="132">
        <v>1</v>
      </c>
      <c r="L275" s="744"/>
      <c r="M275" s="735"/>
      <c r="N275" s="732"/>
      <c r="O275" s="735"/>
      <c r="P275" s="673" t="s">
        <v>41</v>
      </c>
      <c r="Q275" s="346">
        <v>0</v>
      </c>
      <c r="R275" s="346">
        <v>0</v>
      </c>
      <c r="S275" s="346">
        <v>0</v>
      </c>
      <c r="T275" s="346">
        <v>0</v>
      </c>
      <c r="U275" s="346">
        <v>0</v>
      </c>
      <c r="V275" s="346">
        <v>0</v>
      </c>
      <c r="W275" s="346">
        <v>0</v>
      </c>
      <c r="X275" s="346"/>
      <c r="Y275" s="346"/>
      <c r="Z275" s="346">
        <v>0</v>
      </c>
      <c r="AA275" s="346">
        <v>0</v>
      </c>
      <c r="AB275" s="346"/>
      <c r="AC275" s="346"/>
      <c r="AD275" s="346">
        <v>0</v>
      </c>
      <c r="AE275" s="346">
        <v>0</v>
      </c>
      <c r="AF275" s="109">
        <v>6000000</v>
      </c>
      <c r="AG275" s="109"/>
      <c r="AH275" s="346">
        <v>0</v>
      </c>
      <c r="AI275" s="348"/>
      <c r="AJ275" s="348">
        <v>0</v>
      </c>
      <c r="AK275" s="346">
        <f t="shared" si="65"/>
        <v>6000000</v>
      </c>
    </row>
    <row r="276" spans="1:37" ht="51.75" customHeight="1" x14ac:dyDescent="0.2">
      <c r="A276" s="16"/>
      <c r="B276" s="167"/>
      <c r="C276" s="638"/>
      <c r="D276" s="643"/>
      <c r="E276" s="638"/>
      <c r="F276" s="638"/>
      <c r="G276" s="25"/>
      <c r="H276" s="673">
        <v>4</v>
      </c>
      <c r="I276" s="665" t="s">
        <v>340</v>
      </c>
      <c r="J276" s="673">
        <v>0</v>
      </c>
      <c r="K276" s="132">
        <v>1</v>
      </c>
      <c r="L276" s="744"/>
      <c r="M276" s="735"/>
      <c r="N276" s="732"/>
      <c r="O276" s="735"/>
      <c r="P276" s="673" t="s">
        <v>41</v>
      </c>
      <c r="Q276" s="346"/>
      <c r="R276" s="346"/>
      <c r="S276" s="346"/>
      <c r="T276" s="346"/>
      <c r="U276" s="346"/>
      <c r="V276" s="346"/>
      <c r="W276" s="346"/>
      <c r="X276" s="346"/>
      <c r="Y276" s="346"/>
      <c r="Z276" s="346"/>
      <c r="AA276" s="346"/>
      <c r="AB276" s="346"/>
      <c r="AC276" s="346"/>
      <c r="AD276" s="346"/>
      <c r="AE276" s="346"/>
      <c r="AF276" s="109">
        <f>11000000+10000000</f>
        <v>21000000</v>
      </c>
      <c r="AG276" s="109"/>
      <c r="AH276" s="346"/>
      <c r="AI276" s="348"/>
      <c r="AJ276" s="348"/>
      <c r="AK276" s="346">
        <f t="shared" si="65"/>
        <v>21000000</v>
      </c>
    </row>
    <row r="277" spans="1:37" ht="51.75" customHeight="1" x14ac:dyDescent="0.2">
      <c r="A277" s="16"/>
      <c r="B277" s="167"/>
      <c r="C277" s="638">
        <v>3</v>
      </c>
      <c r="D277" s="643" t="s">
        <v>341</v>
      </c>
      <c r="E277" s="638" t="s">
        <v>342</v>
      </c>
      <c r="F277" s="638" t="s">
        <v>138</v>
      </c>
      <c r="G277" s="25"/>
      <c r="H277" s="673">
        <v>5</v>
      </c>
      <c r="I277" s="665" t="s">
        <v>343</v>
      </c>
      <c r="J277" s="673">
        <v>3</v>
      </c>
      <c r="K277" s="132">
        <v>2</v>
      </c>
      <c r="L277" s="744"/>
      <c r="M277" s="735"/>
      <c r="N277" s="732"/>
      <c r="O277" s="735"/>
      <c r="P277" s="673" t="s">
        <v>54</v>
      </c>
      <c r="Q277" s="346">
        <v>0</v>
      </c>
      <c r="R277" s="346">
        <v>0</v>
      </c>
      <c r="S277" s="346">
        <v>0</v>
      </c>
      <c r="T277" s="346">
        <v>0</v>
      </c>
      <c r="U277" s="346">
        <v>0</v>
      </c>
      <c r="V277" s="346">
        <v>0</v>
      </c>
      <c r="W277" s="346">
        <v>0</v>
      </c>
      <c r="X277" s="346"/>
      <c r="Y277" s="346"/>
      <c r="Z277" s="346">
        <v>0</v>
      </c>
      <c r="AA277" s="346">
        <v>0</v>
      </c>
      <c r="AB277" s="346"/>
      <c r="AC277" s="346"/>
      <c r="AD277" s="346">
        <v>0</v>
      </c>
      <c r="AE277" s="346">
        <v>0</v>
      </c>
      <c r="AF277" s="109">
        <f>10000000+11000000</f>
        <v>21000000</v>
      </c>
      <c r="AG277" s="109"/>
      <c r="AH277" s="346">
        <v>0</v>
      </c>
      <c r="AI277" s="348"/>
      <c r="AJ277" s="348">
        <v>0</v>
      </c>
      <c r="AK277" s="346">
        <f t="shared" si="65"/>
        <v>21000000</v>
      </c>
    </row>
    <row r="278" spans="1:37" s="532" customFormat="1" ht="51.75" customHeight="1" x14ac:dyDescent="0.25">
      <c r="A278" s="16"/>
      <c r="B278" s="167"/>
      <c r="C278" s="638"/>
      <c r="D278" s="23"/>
      <c r="E278" s="638"/>
      <c r="F278" s="638"/>
      <c r="G278" s="27"/>
      <c r="H278" s="673">
        <v>6</v>
      </c>
      <c r="I278" s="665" t="s">
        <v>344</v>
      </c>
      <c r="J278" s="673">
        <v>3</v>
      </c>
      <c r="K278" s="132">
        <v>12</v>
      </c>
      <c r="L278" s="745"/>
      <c r="M278" s="736"/>
      <c r="N278" s="733"/>
      <c r="O278" s="736"/>
      <c r="P278" s="673" t="s">
        <v>41</v>
      </c>
      <c r="Q278" s="346">
        <v>0</v>
      </c>
      <c r="R278" s="346">
        <v>0</v>
      </c>
      <c r="S278" s="346">
        <v>0</v>
      </c>
      <c r="T278" s="346">
        <v>0</v>
      </c>
      <c r="U278" s="346">
        <v>0</v>
      </c>
      <c r="V278" s="346">
        <v>0</v>
      </c>
      <c r="W278" s="346">
        <v>0</v>
      </c>
      <c r="X278" s="346"/>
      <c r="Y278" s="346"/>
      <c r="Z278" s="346">
        <v>0</v>
      </c>
      <c r="AA278" s="346">
        <v>0</v>
      </c>
      <c r="AB278" s="346"/>
      <c r="AC278" s="346"/>
      <c r="AD278" s="346">
        <v>0</v>
      </c>
      <c r="AE278" s="346">
        <v>0</v>
      </c>
      <c r="AF278" s="109">
        <v>7000000</v>
      </c>
      <c r="AG278" s="360"/>
      <c r="AH278" s="346">
        <v>0</v>
      </c>
      <c r="AI278" s="348"/>
      <c r="AJ278" s="348">
        <v>0</v>
      </c>
      <c r="AK278" s="346">
        <f t="shared" si="65"/>
        <v>7000000</v>
      </c>
    </row>
    <row r="279" spans="1:37" ht="30" customHeight="1" x14ac:dyDescent="0.2">
      <c r="A279" s="16"/>
      <c r="B279" s="16"/>
      <c r="C279" s="649"/>
      <c r="D279" s="644"/>
      <c r="E279" s="649"/>
      <c r="F279" s="649"/>
      <c r="G279" s="30"/>
      <c r="H279" s="31"/>
      <c r="I279" s="30"/>
      <c r="J279" s="31"/>
      <c r="K279" s="185"/>
      <c r="L279" s="185"/>
      <c r="M279" s="30"/>
      <c r="N279" s="31"/>
      <c r="O279" s="30"/>
      <c r="P279" s="31"/>
      <c r="Q279" s="355">
        <f t="shared" ref="Q279:AK279" si="66">SUM(Q273:Q278)</f>
        <v>0</v>
      </c>
      <c r="R279" s="355">
        <f t="shared" si="66"/>
        <v>0</v>
      </c>
      <c r="S279" s="355">
        <f t="shared" si="66"/>
        <v>0</v>
      </c>
      <c r="T279" s="355">
        <f t="shared" si="66"/>
        <v>0</v>
      </c>
      <c r="U279" s="355">
        <f t="shared" si="66"/>
        <v>0</v>
      </c>
      <c r="V279" s="355">
        <f t="shared" si="66"/>
        <v>0</v>
      </c>
      <c r="W279" s="355">
        <f t="shared" si="66"/>
        <v>0</v>
      </c>
      <c r="X279" s="355">
        <f t="shared" si="66"/>
        <v>0</v>
      </c>
      <c r="Y279" s="355">
        <f t="shared" si="66"/>
        <v>0</v>
      </c>
      <c r="Z279" s="355">
        <f t="shared" si="66"/>
        <v>0</v>
      </c>
      <c r="AA279" s="355">
        <f t="shared" si="66"/>
        <v>0</v>
      </c>
      <c r="AB279" s="355">
        <f t="shared" si="66"/>
        <v>0</v>
      </c>
      <c r="AC279" s="355">
        <f t="shared" si="66"/>
        <v>0</v>
      </c>
      <c r="AD279" s="355">
        <f t="shared" si="66"/>
        <v>0</v>
      </c>
      <c r="AE279" s="355">
        <f t="shared" si="66"/>
        <v>0</v>
      </c>
      <c r="AF279" s="355">
        <f t="shared" si="66"/>
        <v>85000000</v>
      </c>
      <c r="AG279" s="355">
        <f t="shared" si="66"/>
        <v>0</v>
      </c>
      <c r="AH279" s="355">
        <f t="shared" si="66"/>
        <v>0</v>
      </c>
      <c r="AI279" s="355">
        <f t="shared" si="66"/>
        <v>0</v>
      </c>
      <c r="AJ279" s="355">
        <f t="shared" si="66"/>
        <v>0</v>
      </c>
      <c r="AK279" s="355">
        <f t="shared" si="66"/>
        <v>85000000</v>
      </c>
    </row>
    <row r="280" spans="1:37" ht="30" customHeight="1" x14ac:dyDescent="0.2">
      <c r="A280" s="16"/>
      <c r="B280" s="16"/>
      <c r="C280" s="116"/>
      <c r="D280" s="44"/>
      <c r="E280" s="116"/>
      <c r="F280" s="116"/>
      <c r="G280" s="44"/>
      <c r="H280" s="116"/>
      <c r="I280" s="44"/>
      <c r="J280" s="116"/>
      <c r="K280" s="186"/>
      <c r="L280" s="186"/>
      <c r="M280" s="44"/>
      <c r="N280" s="116"/>
      <c r="O280" s="44"/>
      <c r="P280" s="116"/>
      <c r="Q280" s="350"/>
      <c r="R280" s="351"/>
      <c r="S280" s="350"/>
      <c r="T280" s="350"/>
      <c r="U280" s="350"/>
      <c r="V280" s="350"/>
      <c r="W280" s="350"/>
      <c r="X280" s="350"/>
      <c r="Y280" s="350"/>
      <c r="Z280" s="350"/>
      <c r="AA280" s="350"/>
      <c r="AB280" s="351"/>
      <c r="AC280" s="351"/>
      <c r="AD280" s="350"/>
      <c r="AE280" s="350"/>
      <c r="AF280" s="352"/>
      <c r="AG280" s="353"/>
      <c r="AH280" s="350"/>
      <c r="AI280" s="350"/>
      <c r="AJ280" s="351"/>
      <c r="AK280" s="354"/>
    </row>
    <row r="281" spans="1:37" ht="30" customHeight="1" x14ac:dyDescent="0.2">
      <c r="A281" s="16"/>
      <c r="B281" s="16"/>
      <c r="C281" s="648"/>
      <c r="D281" s="642"/>
      <c r="E281" s="648"/>
      <c r="F281" s="648"/>
      <c r="G281" s="108">
        <v>2</v>
      </c>
      <c r="H281" s="77" t="s">
        <v>136</v>
      </c>
      <c r="I281" s="52"/>
      <c r="J281" s="52"/>
      <c r="K281" s="184"/>
      <c r="L281" s="184"/>
      <c r="M281" s="581"/>
      <c r="N281" s="136"/>
      <c r="O281" s="52"/>
      <c r="P281" s="52"/>
      <c r="Q281" s="231"/>
      <c r="R281" s="231"/>
      <c r="S281" s="231"/>
      <c r="T281" s="231"/>
      <c r="U281" s="231"/>
      <c r="V281" s="231"/>
      <c r="W281" s="231"/>
      <c r="X281" s="231"/>
      <c r="Y281" s="231"/>
      <c r="Z281" s="231"/>
      <c r="AA281" s="231"/>
      <c r="AB281" s="231"/>
      <c r="AC281" s="231"/>
      <c r="AD281" s="231"/>
      <c r="AE281" s="231"/>
      <c r="AF281" s="359"/>
      <c r="AG281" s="231"/>
      <c r="AH281" s="231"/>
      <c r="AI281" s="231"/>
      <c r="AJ281" s="231"/>
      <c r="AK281" s="233"/>
    </row>
    <row r="282" spans="1:37" ht="58.5" customHeight="1" x14ac:dyDescent="0.2">
      <c r="A282" s="16"/>
      <c r="B282" s="16"/>
      <c r="C282" s="649">
        <v>2</v>
      </c>
      <c r="D282" s="644" t="s">
        <v>336</v>
      </c>
      <c r="E282" s="649" t="s">
        <v>337</v>
      </c>
      <c r="F282" s="649" t="s">
        <v>337</v>
      </c>
      <c r="G282" s="17"/>
      <c r="H282" s="673">
        <v>8</v>
      </c>
      <c r="I282" s="665" t="s">
        <v>345</v>
      </c>
      <c r="J282" s="673">
        <v>1</v>
      </c>
      <c r="K282" s="132">
        <v>1</v>
      </c>
      <c r="L282" s="743">
        <v>2017003630070</v>
      </c>
      <c r="M282" s="734" t="s">
        <v>346</v>
      </c>
      <c r="N282" s="731" t="s">
        <v>347</v>
      </c>
      <c r="O282" s="734" t="s">
        <v>348</v>
      </c>
      <c r="P282" s="673" t="s">
        <v>54</v>
      </c>
      <c r="Q282" s="346">
        <v>0</v>
      </c>
      <c r="R282" s="346">
        <v>0</v>
      </c>
      <c r="S282" s="346">
        <v>0</v>
      </c>
      <c r="T282" s="346">
        <v>0</v>
      </c>
      <c r="U282" s="346">
        <v>0</v>
      </c>
      <c r="V282" s="346">
        <v>0</v>
      </c>
      <c r="W282" s="346">
        <v>0</v>
      </c>
      <c r="X282" s="346"/>
      <c r="Y282" s="346"/>
      <c r="Z282" s="346">
        <v>0</v>
      </c>
      <c r="AA282" s="346">
        <v>0</v>
      </c>
      <c r="AB282" s="346"/>
      <c r="AC282" s="346"/>
      <c r="AD282" s="346">
        <v>0</v>
      </c>
      <c r="AE282" s="346">
        <f>39500000-39500000</f>
        <v>0</v>
      </c>
      <c r="AF282" s="347">
        <v>38000000</v>
      </c>
      <c r="AG282" s="360"/>
      <c r="AH282" s="346">
        <v>0</v>
      </c>
      <c r="AI282" s="348"/>
      <c r="AJ282" s="348">
        <v>0</v>
      </c>
      <c r="AK282" s="346">
        <f>Q282+R282+S282+T282+U282+V282+W282+X282+Y282+Z282+AA282+AB282+AC282+AD282+AE282+AF282+AG282+AH282+AI282+AJ282</f>
        <v>38000000</v>
      </c>
    </row>
    <row r="283" spans="1:37" ht="58.5" customHeight="1" x14ac:dyDescent="0.2">
      <c r="A283" s="16"/>
      <c r="B283" s="16"/>
      <c r="C283" s="648">
        <v>2</v>
      </c>
      <c r="D283" s="642" t="s">
        <v>336</v>
      </c>
      <c r="E283" s="648" t="s">
        <v>337</v>
      </c>
      <c r="F283" s="648" t="s">
        <v>337</v>
      </c>
      <c r="G283" s="65"/>
      <c r="H283" s="673">
        <v>7</v>
      </c>
      <c r="I283" s="665" t="s">
        <v>349</v>
      </c>
      <c r="J283" s="673">
        <v>0</v>
      </c>
      <c r="K283" s="132">
        <v>1</v>
      </c>
      <c r="L283" s="745"/>
      <c r="M283" s="736"/>
      <c r="N283" s="733"/>
      <c r="O283" s="736"/>
      <c r="P283" s="673" t="s">
        <v>41</v>
      </c>
      <c r="Q283" s="346">
        <v>0</v>
      </c>
      <c r="R283" s="346">
        <v>0</v>
      </c>
      <c r="S283" s="346">
        <v>0</v>
      </c>
      <c r="T283" s="346">
        <v>0</v>
      </c>
      <c r="U283" s="346">
        <v>0</v>
      </c>
      <c r="V283" s="346">
        <v>0</v>
      </c>
      <c r="W283" s="346">
        <v>0</v>
      </c>
      <c r="X283" s="346"/>
      <c r="Y283" s="346"/>
      <c r="Z283" s="346">
        <v>0</v>
      </c>
      <c r="AA283" s="346">
        <v>0</v>
      </c>
      <c r="AB283" s="346"/>
      <c r="AC283" s="346"/>
      <c r="AD283" s="346">
        <v>0</v>
      </c>
      <c r="AE283" s="347">
        <v>0</v>
      </c>
      <c r="AF283" s="347">
        <f>62000000+100000000</f>
        <v>162000000</v>
      </c>
      <c r="AG283" s="360"/>
      <c r="AH283" s="346">
        <v>0</v>
      </c>
      <c r="AI283" s="348"/>
      <c r="AJ283" s="348"/>
      <c r="AK283" s="346">
        <f>Q283+R283+S283+T283+U283+V283+W283+X283+Y283+Z283+AA283+AB283+AC283+AD283+AE283+AF283+AG283+AH283+AI283+AJ283</f>
        <v>162000000</v>
      </c>
    </row>
    <row r="284" spans="1:37" ht="30" customHeight="1" x14ac:dyDescent="0.2">
      <c r="A284" s="16"/>
      <c r="B284" s="16"/>
      <c r="C284" s="649"/>
      <c r="D284" s="644"/>
      <c r="E284" s="649"/>
      <c r="F284" s="649"/>
      <c r="G284" s="30"/>
      <c r="H284" s="31"/>
      <c r="I284" s="30"/>
      <c r="J284" s="30"/>
      <c r="K284" s="198"/>
      <c r="L284" s="198"/>
      <c r="M284" s="30"/>
      <c r="N284" s="31"/>
      <c r="O284" s="30"/>
      <c r="P284" s="31"/>
      <c r="Q284" s="401">
        <f t="shared" ref="Q284:AK284" si="67">SUM(Q282:Q283)</f>
        <v>0</v>
      </c>
      <c r="R284" s="401">
        <f t="shared" si="67"/>
        <v>0</v>
      </c>
      <c r="S284" s="401">
        <f t="shared" si="67"/>
        <v>0</v>
      </c>
      <c r="T284" s="401">
        <f t="shared" si="67"/>
        <v>0</v>
      </c>
      <c r="U284" s="401">
        <f t="shared" si="67"/>
        <v>0</v>
      </c>
      <c r="V284" s="401">
        <f t="shared" si="67"/>
        <v>0</v>
      </c>
      <c r="W284" s="401">
        <f t="shared" si="67"/>
        <v>0</v>
      </c>
      <c r="X284" s="401">
        <f t="shared" si="67"/>
        <v>0</v>
      </c>
      <c r="Y284" s="401">
        <f t="shared" si="67"/>
        <v>0</v>
      </c>
      <c r="Z284" s="401">
        <f t="shared" si="67"/>
        <v>0</v>
      </c>
      <c r="AA284" s="401">
        <f t="shared" si="67"/>
        <v>0</v>
      </c>
      <c r="AB284" s="401">
        <f t="shared" si="67"/>
        <v>0</v>
      </c>
      <c r="AC284" s="401">
        <f t="shared" si="67"/>
        <v>0</v>
      </c>
      <c r="AD284" s="401">
        <f t="shared" si="67"/>
        <v>0</v>
      </c>
      <c r="AE284" s="401">
        <f t="shared" si="67"/>
        <v>0</v>
      </c>
      <c r="AF284" s="401">
        <f t="shared" si="67"/>
        <v>200000000</v>
      </c>
      <c r="AG284" s="401">
        <f t="shared" si="67"/>
        <v>0</v>
      </c>
      <c r="AH284" s="401">
        <f t="shared" si="67"/>
        <v>0</v>
      </c>
      <c r="AI284" s="401">
        <f t="shared" si="67"/>
        <v>0</v>
      </c>
      <c r="AJ284" s="401">
        <f t="shared" si="67"/>
        <v>0</v>
      </c>
      <c r="AK284" s="401">
        <f t="shared" si="67"/>
        <v>200000000</v>
      </c>
    </row>
    <row r="285" spans="1:37" ht="30" customHeight="1" x14ac:dyDescent="0.2">
      <c r="A285" s="16"/>
      <c r="B285" s="16"/>
      <c r="C285" s="116"/>
      <c r="D285" s="44"/>
      <c r="E285" s="45"/>
      <c r="F285" s="45"/>
      <c r="G285" s="44"/>
      <c r="H285" s="116"/>
      <c r="I285" s="44"/>
      <c r="J285" s="44"/>
      <c r="K285" s="199"/>
      <c r="L285" s="199"/>
      <c r="M285" s="44"/>
      <c r="N285" s="116"/>
      <c r="O285" s="44"/>
      <c r="P285" s="116"/>
      <c r="Q285" s="402"/>
      <c r="R285" s="403"/>
      <c r="S285" s="402"/>
      <c r="T285" s="402"/>
      <c r="U285" s="402"/>
      <c r="V285" s="402"/>
      <c r="W285" s="402"/>
      <c r="X285" s="402"/>
      <c r="Y285" s="402"/>
      <c r="Z285" s="402"/>
      <c r="AA285" s="402"/>
      <c r="AB285" s="403"/>
      <c r="AC285" s="403"/>
      <c r="AD285" s="402"/>
      <c r="AE285" s="402"/>
      <c r="AF285" s="404" t="s">
        <v>56</v>
      </c>
      <c r="AG285" s="405"/>
      <c r="AH285" s="402"/>
      <c r="AI285" s="402"/>
      <c r="AJ285" s="403"/>
      <c r="AK285" s="402"/>
    </row>
    <row r="286" spans="1:37" ht="30" customHeight="1" x14ac:dyDescent="0.2">
      <c r="A286" s="16"/>
      <c r="B286" s="16"/>
      <c r="C286" s="648"/>
      <c r="D286" s="642"/>
      <c r="E286" s="648"/>
      <c r="F286" s="648"/>
      <c r="G286" s="108">
        <v>3</v>
      </c>
      <c r="H286" s="77" t="s">
        <v>350</v>
      </c>
      <c r="I286" s="52"/>
      <c r="J286" s="52"/>
      <c r="K286" s="184"/>
      <c r="L286" s="184"/>
      <c r="M286" s="581"/>
      <c r="N286" s="136"/>
      <c r="O286" s="52"/>
      <c r="P286" s="52"/>
      <c r="Q286" s="231"/>
      <c r="R286" s="231"/>
      <c r="S286" s="231"/>
      <c r="T286" s="231"/>
      <c r="U286" s="231"/>
      <c r="V286" s="231"/>
      <c r="W286" s="231"/>
      <c r="X286" s="231"/>
      <c r="Y286" s="231"/>
      <c r="Z286" s="231"/>
      <c r="AA286" s="231"/>
      <c r="AB286" s="231"/>
      <c r="AC286" s="231"/>
      <c r="AD286" s="231"/>
      <c r="AE286" s="231"/>
      <c r="AF286" s="359"/>
      <c r="AG286" s="231"/>
      <c r="AH286" s="231"/>
      <c r="AI286" s="231"/>
      <c r="AJ286" s="231"/>
      <c r="AK286" s="233"/>
    </row>
    <row r="287" spans="1:37" ht="152.25" customHeight="1" x14ac:dyDescent="0.2">
      <c r="A287" s="16"/>
      <c r="B287" s="16"/>
      <c r="C287" s="649" t="s">
        <v>351</v>
      </c>
      <c r="D287" s="644" t="s">
        <v>931</v>
      </c>
      <c r="E287" s="649" t="s">
        <v>352</v>
      </c>
      <c r="F287" s="649" t="s">
        <v>353</v>
      </c>
      <c r="G287" s="17"/>
      <c r="H287" s="673">
        <v>14</v>
      </c>
      <c r="I287" s="665" t="s">
        <v>354</v>
      </c>
      <c r="J287" s="673">
        <v>2</v>
      </c>
      <c r="K287" s="132">
        <v>6</v>
      </c>
      <c r="L287" s="20">
        <v>2017003630075</v>
      </c>
      <c r="M287" s="665" t="s">
        <v>333</v>
      </c>
      <c r="N287" s="673" t="s">
        <v>355</v>
      </c>
      <c r="O287" s="665" t="s">
        <v>356</v>
      </c>
      <c r="P287" s="673" t="s">
        <v>41</v>
      </c>
      <c r="Q287" s="346">
        <v>0</v>
      </c>
      <c r="R287" s="346">
        <v>0</v>
      </c>
      <c r="S287" s="346">
        <v>0</v>
      </c>
      <c r="T287" s="346">
        <v>0</v>
      </c>
      <c r="U287" s="346">
        <v>0</v>
      </c>
      <c r="V287" s="346">
        <v>0</v>
      </c>
      <c r="W287" s="346">
        <v>0</v>
      </c>
      <c r="X287" s="346"/>
      <c r="Y287" s="346"/>
      <c r="Z287" s="346">
        <v>0</v>
      </c>
      <c r="AA287" s="346">
        <v>0</v>
      </c>
      <c r="AB287" s="346"/>
      <c r="AC287" s="346"/>
      <c r="AD287" s="346">
        <v>0</v>
      </c>
      <c r="AE287" s="346">
        <v>0</v>
      </c>
      <c r="AF287" s="539">
        <f>488574676+41297982+592289786</f>
        <v>1122162444</v>
      </c>
      <c r="AG287" s="366"/>
      <c r="AH287" s="346">
        <v>0</v>
      </c>
      <c r="AI287" s="348"/>
      <c r="AJ287" s="348"/>
      <c r="AK287" s="346">
        <f t="shared" ref="AK287:AK292" si="68">Q287+R287+S287+T287+U287+V287+W287+X287+Y287+Z287+AA287+AB287+AC287+AD287+AE287+AF287+AG287+AH287+AI287+AJ287</f>
        <v>1122162444</v>
      </c>
    </row>
    <row r="288" spans="1:37" ht="100.5" customHeight="1" x14ac:dyDescent="0.2">
      <c r="A288" s="16"/>
      <c r="B288" s="16"/>
      <c r="C288" s="663">
        <v>3</v>
      </c>
      <c r="D288" s="665" t="s">
        <v>341</v>
      </c>
      <c r="E288" s="673" t="s">
        <v>342</v>
      </c>
      <c r="F288" s="673" t="s">
        <v>138</v>
      </c>
      <c r="G288" s="23"/>
      <c r="H288" s="673">
        <v>15</v>
      </c>
      <c r="I288" s="642" t="s">
        <v>357</v>
      </c>
      <c r="J288" s="673">
        <v>0</v>
      </c>
      <c r="K288" s="132">
        <v>2</v>
      </c>
      <c r="L288" s="743">
        <v>2017003630062</v>
      </c>
      <c r="M288" s="734" t="s">
        <v>333</v>
      </c>
      <c r="N288" s="732" t="s">
        <v>358</v>
      </c>
      <c r="O288" s="735" t="s">
        <v>883</v>
      </c>
      <c r="P288" s="673" t="s">
        <v>41</v>
      </c>
      <c r="Q288" s="346"/>
      <c r="R288" s="346"/>
      <c r="S288" s="346"/>
      <c r="T288" s="346"/>
      <c r="U288" s="346"/>
      <c r="V288" s="346"/>
      <c r="W288" s="346"/>
      <c r="X288" s="346"/>
      <c r="Y288" s="346"/>
      <c r="Z288" s="346"/>
      <c r="AA288" s="346"/>
      <c r="AB288" s="346"/>
      <c r="AC288" s="346"/>
      <c r="AD288" s="346"/>
      <c r="AE288" s="346"/>
      <c r="AF288" s="539">
        <v>180000000</v>
      </c>
      <c r="AG288" s="366"/>
      <c r="AH288" s="346"/>
      <c r="AI288" s="348"/>
      <c r="AJ288" s="348"/>
      <c r="AK288" s="346">
        <f t="shared" si="68"/>
        <v>180000000</v>
      </c>
    </row>
    <row r="289" spans="1:37" ht="69" customHeight="1" x14ac:dyDescent="0.2">
      <c r="A289" s="16"/>
      <c r="B289" s="16"/>
      <c r="C289" s="673"/>
      <c r="D289" s="665"/>
      <c r="E289" s="673"/>
      <c r="F289" s="673"/>
      <c r="G289" s="23"/>
      <c r="H289" s="673">
        <v>16</v>
      </c>
      <c r="I289" s="642" t="s">
        <v>359</v>
      </c>
      <c r="J289" s="673">
        <v>7</v>
      </c>
      <c r="K289" s="132">
        <v>4</v>
      </c>
      <c r="L289" s="744"/>
      <c r="M289" s="735"/>
      <c r="N289" s="732"/>
      <c r="O289" s="735"/>
      <c r="P289" s="673" t="s">
        <v>54</v>
      </c>
      <c r="Q289" s="346"/>
      <c r="R289" s="346"/>
      <c r="S289" s="346"/>
      <c r="T289" s="346"/>
      <c r="U289" s="346"/>
      <c r="V289" s="346"/>
      <c r="W289" s="346"/>
      <c r="X289" s="346"/>
      <c r="Y289" s="346"/>
      <c r="Z289" s="346"/>
      <c r="AA289" s="346"/>
      <c r="AB289" s="346"/>
      <c r="AC289" s="346"/>
      <c r="AD289" s="346"/>
      <c r="AE289" s="346"/>
      <c r="AF289" s="539">
        <v>6000000</v>
      </c>
      <c r="AG289" s="366"/>
      <c r="AH289" s="346"/>
      <c r="AI289" s="348"/>
      <c r="AJ289" s="348"/>
      <c r="AK289" s="346">
        <f t="shared" si="68"/>
        <v>6000000</v>
      </c>
    </row>
    <row r="290" spans="1:37" ht="69" customHeight="1" x14ac:dyDescent="0.2">
      <c r="A290" s="16"/>
      <c r="B290" s="16"/>
      <c r="C290" s="649"/>
      <c r="D290" s="644"/>
      <c r="E290" s="649"/>
      <c r="F290" s="649"/>
      <c r="G290" s="23"/>
      <c r="H290" s="673">
        <v>18</v>
      </c>
      <c r="I290" s="665" t="s">
        <v>360</v>
      </c>
      <c r="J290" s="673">
        <v>0</v>
      </c>
      <c r="K290" s="132">
        <v>7</v>
      </c>
      <c r="L290" s="744"/>
      <c r="M290" s="735"/>
      <c r="N290" s="732"/>
      <c r="O290" s="735"/>
      <c r="P290" s="673" t="s">
        <v>54</v>
      </c>
      <c r="Q290" s="346"/>
      <c r="R290" s="346"/>
      <c r="S290" s="346"/>
      <c r="T290" s="346"/>
      <c r="U290" s="346"/>
      <c r="V290" s="346"/>
      <c r="W290" s="346"/>
      <c r="X290" s="346"/>
      <c r="Y290" s="346"/>
      <c r="Z290" s="346"/>
      <c r="AA290" s="346"/>
      <c r="AB290" s="346"/>
      <c r="AC290" s="346"/>
      <c r="AD290" s="346"/>
      <c r="AE290" s="346"/>
      <c r="AF290" s="548">
        <f>8600000+20000000</f>
        <v>28600000</v>
      </c>
      <c r="AG290" s="349"/>
      <c r="AH290" s="346"/>
      <c r="AI290" s="348"/>
      <c r="AJ290" s="348"/>
      <c r="AK290" s="346">
        <f t="shared" si="68"/>
        <v>28600000</v>
      </c>
    </row>
    <row r="291" spans="1:37" ht="100.5" customHeight="1" x14ac:dyDescent="0.2">
      <c r="A291" s="16"/>
      <c r="B291" s="16"/>
      <c r="C291" s="663">
        <v>4</v>
      </c>
      <c r="D291" s="665" t="s">
        <v>361</v>
      </c>
      <c r="E291" s="673" t="s">
        <v>362</v>
      </c>
      <c r="F291" s="673" t="s">
        <v>363</v>
      </c>
      <c r="G291" s="23"/>
      <c r="H291" s="673">
        <v>19</v>
      </c>
      <c r="I291" s="665" t="s">
        <v>364</v>
      </c>
      <c r="J291" s="673">
        <v>20</v>
      </c>
      <c r="K291" s="132">
        <v>9</v>
      </c>
      <c r="L291" s="744"/>
      <c r="M291" s="735"/>
      <c r="N291" s="732"/>
      <c r="O291" s="735"/>
      <c r="P291" s="673" t="s">
        <v>54</v>
      </c>
      <c r="Q291" s="346">
        <v>0</v>
      </c>
      <c r="R291" s="346">
        <v>0</v>
      </c>
      <c r="S291" s="346">
        <v>0</v>
      </c>
      <c r="T291" s="346">
        <v>0</v>
      </c>
      <c r="U291" s="346">
        <v>0</v>
      </c>
      <c r="V291" s="346">
        <v>0</v>
      </c>
      <c r="W291" s="346">
        <v>0</v>
      </c>
      <c r="X291" s="346"/>
      <c r="Y291" s="346"/>
      <c r="Z291" s="346">
        <v>0</v>
      </c>
      <c r="AA291" s="346">
        <v>0</v>
      </c>
      <c r="AB291" s="346"/>
      <c r="AC291" s="346"/>
      <c r="AD291" s="346">
        <v>0</v>
      </c>
      <c r="AE291" s="346">
        <v>0</v>
      </c>
      <c r="AF291" s="548">
        <f>7000000</f>
        <v>7000000</v>
      </c>
      <c r="AG291" s="349"/>
      <c r="AH291" s="346">
        <v>0</v>
      </c>
      <c r="AI291" s="348"/>
      <c r="AJ291" s="348"/>
      <c r="AK291" s="346">
        <f t="shared" si="68"/>
        <v>7000000</v>
      </c>
    </row>
    <row r="292" spans="1:37" ht="69" customHeight="1" x14ac:dyDescent="0.2">
      <c r="A292" s="16"/>
      <c r="B292" s="16"/>
      <c r="C292" s="648">
        <v>1</v>
      </c>
      <c r="D292" s="642" t="s">
        <v>331</v>
      </c>
      <c r="E292" s="471" t="s">
        <v>32</v>
      </c>
      <c r="F292" s="472">
        <v>15000</v>
      </c>
      <c r="G292" s="23"/>
      <c r="H292" s="673">
        <v>20</v>
      </c>
      <c r="I292" s="665" t="s">
        <v>365</v>
      </c>
      <c r="J292" s="673" t="s">
        <v>32</v>
      </c>
      <c r="K292" s="132">
        <v>70</v>
      </c>
      <c r="L292" s="745"/>
      <c r="M292" s="736"/>
      <c r="N292" s="733"/>
      <c r="O292" s="736"/>
      <c r="P292" s="673" t="s">
        <v>54</v>
      </c>
      <c r="Q292" s="346">
        <v>0</v>
      </c>
      <c r="R292" s="346">
        <v>0</v>
      </c>
      <c r="S292" s="346">
        <v>0</v>
      </c>
      <c r="T292" s="346">
        <v>0</v>
      </c>
      <c r="U292" s="346">
        <v>0</v>
      </c>
      <c r="V292" s="346">
        <v>0</v>
      </c>
      <c r="W292" s="346">
        <v>0</v>
      </c>
      <c r="X292" s="346"/>
      <c r="Y292" s="346"/>
      <c r="Z292" s="346">
        <v>0</v>
      </c>
      <c r="AA292" s="346">
        <v>0</v>
      </c>
      <c r="AB292" s="346"/>
      <c r="AC292" s="346"/>
      <c r="AD292" s="346">
        <v>0</v>
      </c>
      <c r="AE292" s="346">
        <v>0</v>
      </c>
      <c r="AF292" s="349">
        <v>7000000</v>
      </c>
      <c r="AG292" s="349"/>
      <c r="AH292" s="346">
        <v>0</v>
      </c>
      <c r="AI292" s="348"/>
      <c r="AJ292" s="348"/>
      <c r="AK292" s="346">
        <f t="shared" si="68"/>
        <v>7000000</v>
      </c>
    </row>
    <row r="293" spans="1:37" ht="30" customHeight="1" x14ac:dyDescent="0.2">
      <c r="A293" s="16"/>
      <c r="B293" s="29"/>
      <c r="C293" s="649"/>
      <c r="D293" s="644"/>
      <c r="E293" s="649"/>
      <c r="F293" s="649"/>
      <c r="G293" s="30"/>
      <c r="H293" s="31"/>
      <c r="I293" s="30"/>
      <c r="J293" s="30"/>
      <c r="K293" s="198"/>
      <c r="L293" s="198"/>
      <c r="M293" s="30"/>
      <c r="N293" s="31"/>
      <c r="O293" s="200"/>
      <c r="P293" s="31"/>
      <c r="Q293" s="401">
        <f t="shared" ref="Q293:AK293" si="69">SUM(Q287:Q292)</f>
        <v>0</v>
      </c>
      <c r="R293" s="401">
        <f t="shared" si="69"/>
        <v>0</v>
      </c>
      <c r="S293" s="401">
        <f t="shared" si="69"/>
        <v>0</v>
      </c>
      <c r="T293" s="401">
        <f t="shared" si="69"/>
        <v>0</v>
      </c>
      <c r="U293" s="401">
        <f t="shared" si="69"/>
        <v>0</v>
      </c>
      <c r="V293" s="401">
        <f t="shared" si="69"/>
        <v>0</v>
      </c>
      <c r="W293" s="401">
        <f t="shared" si="69"/>
        <v>0</v>
      </c>
      <c r="X293" s="401">
        <f t="shared" si="69"/>
        <v>0</v>
      </c>
      <c r="Y293" s="401">
        <f t="shared" si="69"/>
        <v>0</v>
      </c>
      <c r="Z293" s="401">
        <f t="shared" si="69"/>
        <v>0</v>
      </c>
      <c r="AA293" s="401">
        <f t="shared" si="69"/>
        <v>0</v>
      </c>
      <c r="AB293" s="401">
        <f t="shared" si="69"/>
        <v>0</v>
      </c>
      <c r="AC293" s="401">
        <f t="shared" si="69"/>
        <v>0</v>
      </c>
      <c r="AD293" s="401">
        <f t="shared" si="69"/>
        <v>0</v>
      </c>
      <c r="AE293" s="401">
        <f t="shared" si="69"/>
        <v>0</v>
      </c>
      <c r="AF293" s="401">
        <f t="shared" si="69"/>
        <v>1350762444</v>
      </c>
      <c r="AG293" s="401">
        <f t="shared" si="69"/>
        <v>0</v>
      </c>
      <c r="AH293" s="401">
        <f t="shared" si="69"/>
        <v>0</v>
      </c>
      <c r="AI293" s="401">
        <f t="shared" si="69"/>
        <v>0</v>
      </c>
      <c r="AJ293" s="401">
        <f t="shared" si="69"/>
        <v>0</v>
      </c>
      <c r="AK293" s="401">
        <f t="shared" si="69"/>
        <v>1350762444</v>
      </c>
    </row>
    <row r="294" spans="1:37" ht="30" customHeight="1" x14ac:dyDescent="0.2">
      <c r="A294" s="29"/>
      <c r="B294" s="34"/>
      <c r="C294" s="70"/>
      <c r="D294" s="34"/>
      <c r="E294" s="35"/>
      <c r="F294" s="35"/>
      <c r="G294" s="34"/>
      <c r="H294" s="35"/>
      <c r="I294" s="34"/>
      <c r="J294" s="34"/>
      <c r="K294" s="201"/>
      <c r="L294" s="201"/>
      <c r="M294" s="34"/>
      <c r="N294" s="35"/>
      <c r="O294" s="34"/>
      <c r="P294" s="35"/>
      <c r="Q294" s="380">
        <f t="shared" ref="Q294:AK294" si="70">Q293+Q284+Q279</f>
        <v>0</v>
      </c>
      <c r="R294" s="380">
        <f t="shared" si="70"/>
        <v>0</v>
      </c>
      <c r="S294" s="380">
        <f t="shared" si="70"/>
        <v>0</v>
      </c>
      <c r="T294" s="380">
        <f t="shared" si="70"/>
        <v>0</v>
      </c>
      <c r="U294" s="380">
        <f t="shared" si="70"/>
        <v>0</v>
      </c>
      <c r="V294" s="380">
        <f t="shared" si="70"/>
        <v>0</v>
      </c>
      <c r="W294" s="380">
        <f t="shared" si="70"/>
        <v>0</v>
      </c>
      <c r="X294" s="380">
        <f t="shared" si="70"/>
        <v>0</v>
      </c>
      <c r="Y294" s="380">
        <f t="shared" si="70"/>
        <v>0</v>
      </c>
      <c r="Z294" s="380">
        <f t="shared" si="70"/>
        <v>0</v>
      </c>
      <c r="AA294" s="380">
        <f t="shared" si="70"/>
        <v>0</v>
      </c>
      <c r="AB294" s="380">
        <f t="shared" si="70"/>
        <v>0</v>
      </c>
      <c r="AC294" s="380">
        <f t="shared" si="70"/>
        <v>0</v>
      </c>
      <c r="AD294" s="380">
        <f t="shared" si="70"/>
        <v>0</v>
      </c>
      <c r="AE294" s="380">
        <f t="shared" si="70"/>
        <v>0</v>
      </c>
      <c r="AF294" s="380">
        <f t="shared" si="70"/>
        <v>1635762444</v>
      </c>
      <c r="AG294" s="380">
        <f t="shared" si="70"/>
        <v>0</v>
      </c>
      <c r="AH294" s="380">
        <f t="shared" si="70"/>
        <v>0</v>
      </c>
      <c r="AI294" s="380">
        <f t="shared" si="70"/>
        <v>0</v>
      </c>
      <c r="AJ294" s="380">
        <f t="shared" si="70"/>
        <v>0</v>
      </c>
      <c r="AK294" s="380">
        <f t="shared" si="70"/>
        <v>1635762444</v>
      </c>
    </row>
    <row r="295" spans="1:37" ht="30" customHeight="1" x14ac:dyDescent="0.2">
      <c r="A295" s="510"/>
      <c r="B295" s="510"/>
      <c r="C295" s="38"/>
      <c r="D295" s="284"/>
      <c r="E295" s="284"/>
      <c r="F295" s="284"/>
      <c r="G295" s="284"/>
      <c r="H295" s="38"/>
      <c r="I295" s="284"/>
      <c r="J295" s="284"/>
      <c r="K295" s="511"/>
      <c r="L295" s="511"/>
      <c r="M295" s="37"/>
      <c r="N295" s="38"/>
      <c r="O295" s="284"/>
      <c r="P295" s="284"/>
      <c r="Q295" s="512">
        <f t="shared" ref="Q295:AK295" si="71">Q294</f>
        <v>0</v>
      </c>
      <c r="R295" s="512">
        <f t="shared" si="71"/>
        <v>0</v>
      </c>
      <c r="S295" s="512">
        <f t="shared" si="71"/>
        <v>0</v>
      </c>
      <c r="T295" s="512">
        <f t="shared" si="71"/>
        <v>0</v>
      </c>
      <c r="U295" s="512">
        <f t="shared" si="71"/>
        <v>0</v>
      </c>
      <c r="V295" s="512">
        <f t="shared" si="71"/>
        <v>0</v>
      </c>
      <c r="W295" s="512">
        <f t="shared" si="71"/>
        <v>0</v>
      </c>
      <c r="X295" s="512">
        <f t="shared" si="71"/>
        <v>0</v>
      </c>
      <c r="Y295" s="512">
        <f t="shared" si="71"/>
        <v>0</v>
      </c>
      <c r="Z295" s="512">
        <f t="shared" si="71"/>
        <v>0</v>
      </c>
      <c r="AA295" s="512">
        <f t="shared" si="71"/>
        <v>0</v>
      </c>
      <c r="AB295" s="512">
        <f t="shared" si="71"/>
        <v>0</v>
      </c>
      <c r="AC295" s="512">
        <f t="shared" si="71"/>
        <v>0</v>
      </c>
      <c r="AD295" s="512">
        <f t="shared" si="71"/>
        <v>0</v>
      </c>
      <c r="AE295" s="512">
        <f t="shared" si="71"/>
        <v>0</v>
      </c>
      <c r="AF295" s="512">
        <f t="shared" si="71"/>
        <v>1635762444</v>
      </c>
      <c r="AG295" s="512">
        <f t="shared" si="71"/>
        <v>0</v>
      </c>
      <c r="AH295" s="512">
        <f t="shared" si="71"/>
        <v>0</v>
      </c>
      <c r="AI295" s="512">
        <f t="shared" si="71"/>
        <v>0</v>
      </c>
      <c r="AJ295" s="512">
        <f t="shared" si="71"/>
        <v>0</v>
      </c>
      <c r="AK295" s="512">
        <f t="shared" si="71"/>
        <v>1635762444</v>
      </c>
    </row>
    <row r="296" spans="1:37" ht="30" customHeight="1" x14ac:dyDescent="0.2">
      <c r="A296" s="43"/>
      <c r="B296" s="44"/>
      <c r="C296" s="116"/>
      <c r="D296" s="44"/>
      <c r="E296" s="116"/>
      <c r="F296" s="116"/>
      <c r="G296" s="44"/>
      <c r="H296" s="116"/>
      <c r="I296" s="44"/>
      <c r="J296" s="44"/>
      <c r="K296" s="199"/>
      <c r="L296" s="199"/>
      <c r="M296" s="44"/>
      <c r="N296" s="116"/>
      <c r="O296" s="44"/>
      <c r="P296" s="116"/>
      <c r="Q296" s="402"/>
      <c r="R296" s="403"/>
      <c r="S296" s="402"/>
      <c r="T296" s="402"/>
      <c r="U296" s="402"/>
      <c r="V296" s="402"/>
      <c r="W296" s="402"/>
      <c r="X296" s="402"/>
      <c r="Y296" s="402"/>
      <c r="Z296" s="402"/>
      <c r="AA296" s="402"/>
      <c r="AB296" s="403"/>
      <c r="AC296" s="403"/>
      <c r="AD296" s="402"/>
      <c r="AE296" s="402"/>
      <c r="AF296" s="404"/>
      <c r="AG296" s="402"/>
      <c r="AH296" s="402"/>
      <c r="AI296" s="402"/>
      <c r="AJ296" s="403"/>
      <c r="AK296" s="402"/>
    </row>
    <row r="297" spans="1:37" ht="30" customHeight="1" x14ac:dyDescent="0.2">
      <c r="A297" s="679">
        <v>2</v>
      </c>
      <c r="B297" s="7" t="s">
        <v>106</v>
      </c>
      <c r="C297" s="8"/>
      <c r="D297" s="7"/>
      <c r="E297" s="7"/>
      <c r="F297" s="7"/>
      <c r="G297" s="7"/>
      <c r="H297" s="8"/>
      <c r="I297" s="7"/>
      <c r="J297" s="7"/>
      <c r="K297" s="196"/>
      <c r="L297" s="196"/>
      <c r="M297" s="578"/>
      <c r="N297" s="8"/>
      <c r="O297" s="7"/>
      <c r="P297" s="7"/>
      <c r="Q297" s="376"/>
      <c r="R297" s="376"/>
      <c r="S297" s="376"/>
      <c r="T297" s="376"/>
      <c r="U297" s="376"/>
      <c r="V297" s="376"/>
      <c r="W297" s="376"/>
      <c r="X297" s="376"/>
      <c r="Y297" s="376"/>
      <c r="Z297" s="376"/>
      <c r="AA297" s="376"/>
      <c r="AB297" s="376"/>
      <c r="AC297" s="376"/>
      <c r="AD297" s="376"/>
      <c r="AE297" s="376"/>
      <c r="AF297" s="377"/>
      <c r="AG297" s="376"/>
      <c r="AH297" s="376"/>
      <c r="AI297" s="376"/>
      <c r="AJ297" s="376"/>
      <c r="AK297" s="378"/>
    </row>
    <row r="298" spans="1:37" ht="30" customHeight="1" x14ac:dyDescent="0.2">
      <c r="A298" s="48"/>
      <c r="B298" s="93">
        <v>2</v>
      </c>
      <c r="C298" s="11" t="s">
        <v>281</v>
      </c>
      <c r="D298" s="12"/>
      <c r="E298" s="12"/>
      <c r="F298" s="12"/>
      <c r="G298" s="12"/>
      <c r="H298" s="13"/>
      <c r="I298" s="12"/>
      <c r="J298" s="12"/>
      <c r="K298" s="189"/>
      <c r="L298" s="189"/>
      <c r="M298" s="579"/>
      <c r="N298" s="13"/>
      <c r="O298" s="12"/>
      <c r="P298" s="12"/>
      <c r="Q298" s="357"/>
      <c r="R298" s="357"/>
      <c r="S298" s="357"/>
      <c r="T298" s="357"/>
      <c r="U298" s="357"/>
      <c r="V298" s="357"/>
      <c r="W298" s="357"/>
      <c r="X298" s="357"/>
      <c r="Y298" s="357"/>
      <c r="Z298" s="357"/>
      <c r="AA298" s="357"/>
      <c r="AB298" s="357"/>
      <c r="AC298" s="357"/>
      <c r="AD298" s="357"/>
      <c r="AE298" s="357"/>
      <c r="AF298" s="358"/>
      <c r="AG298" s="357"/>
      <c r="AH298" s="357"/>
      <c r="AI298" s="357"/>
      <c r="AJ298" s="357"/>
      <c r="AK298" s="362"/>
    </row>
    <row r="299" spans="1:37" ht="30" customHeight="1" x14ac:dyDescent="0.2">
      <c r="A299" s="16"/>
      <c r="B299" s="48"/>
      <c r="C299" s="648"/>
      <c r="D299" s="642"/>
      <c r="E299" s="648"/>
      <c r="F299" s="648"/>
      <c r="G299" s="181">
        <v>4</v>
      </c>
      <c r="H299" s="51" t="s">
        <v>366</v>
      </c>
      <c r="I299" s="52"/>
      <c r="J299" s="52"/>
      <c r="K299" s="184"/>
      <c r="L299" s="184"/>
      <c r="M299" s="581"/>
      <c r="N299" s="136"/>
      <c r="O299" s="52"/>
      <c r="P299" s="52"/>
      <c r="Q299" s="231"/>
      <c r="R299" s="231"/>
      <c r="S299" s="231"/>
      <c r="T299" s="231"/>
      <c r="U299" s="231"/>
      <c r="V299" s="231"/>
      <c r="W299" s="231"/>
      <c r="X299" s="231"/>
      <c r="Y299" s="231"/>
      <c r="Z299" s="231"/>
      <c r="AA299" s="231"/>
      <c r="AB299" s="231"/>
      <c r="AC299" s="231"/>
      <c r="AD299" s="231"/>
      <c r="AE299" s="231"/>
      <c r="AF299" s="359"/>
      <c r="AG299" s="231"/>
      <c r="AH299" s="231"/>
      <c r="AI299" s="231"/>
      <c r="AJ299" s="231"/>
      <c r="AK299" s="233"/>
    </row>
    <row r="300" spans="1:37" ht="136.5" customHeight="1" x14ac:dyDescent="0.2">
      <c r="A300" s="16"/>
      <c r="B300" s="16"/>
      <c r="C300" s="649" t="s">
        <v>367</v>
      </c>
      <c r="D300" s="644" t="s">
        <v>368</v>
      </c>
      <c r="E300" s="649" t="s">
        <v>369</v>
      </c>
      <c r="F300" s="649" t="s">
        <v>370</v>
      </c>
      <c r="G300" s="665"/>
      <c r="H300" s="673">
        <v>21</v>
      </c>
      <c r="I300" s="665" t="s">
        <v>371</v>
      </c>
      <c r="J300" s="673">
        <v>20</v>
      </c>
      <c r="K300" s="132">
        <v>100</v>
      </c>
      <c r="L300" s="743">
        <v>2017003630069</v>
      </c>
      <c r="M300" s="734" t="s">
        <v>84</v>
      </c>
      <c r="N300" s="731" t="s">
        <v>372</v>
      </c>
      <c r="O300" s="731" t="s">
        <v>884</v>
      </c>
      <c r="P300" s="673" t="s">
        <v>54</v>
      </c>
      <c r="Q300" s="346">
        <v>0</v>
      </c>
      <c r="R300" s="346">
        <v>0</v>
      </c>
      <c r="S300" s="346">
        <v>0</v>
      </c>
      <c r="T300" s="346">
        <v>0</v>
      </c>
      <c r="U300" s="346">
        <v>0</v>
      </c>
      <c r="V300" s="346">
        <v>0</v>
      </c>
      <c r="W300" s="346">
        <v>0</v>
      </c>
      <c r="X300" s="346"/>
      <c r="Y300" s="346"/>
      <c r="Z300" s="346">
        <v>0</v>
      </c>
      <c r="AA300" s="346">
        <v>0</v>
      </c>
      <c r="AB300" s="346"/>
      <c r="AC300" s="346"/>
      <c r="AD300" s="346">
        <v>0</v>
      </c>
      <c r="AE300" s="346">
        <v>0</v>
      </c>
      <c r="AF300" s="349">
        <f>28000000+16000000+20000000</f>
        <v>64000000</v>
      </c>
      <c r="AG300" s="349"/>
      <c r="AH300" s="346">
        <v>0</v>
      </c>
      <c r="AI300" s="348"/>
      <c r="AJ300" s="348"/>
      <c r="AK300" s="346">
        <f>Q300+R300+S300+T300+U300+V300+W300+X300+Y300+Z300+AA300+AB300+AC300+AD300+AE300+AF300+AG300+AH300+AI300+AJ300</f>
        <v>64000000</v>
      </c>
    </row>
    <row r="301" spans="1:37" ht="136.5" customHeight="1" x14ac:dyDescent="0.2">
      <c r="A301" s="16"/>
      <c r="B301" s="16"/>
      <c r="C301" s="663" t="s">
        <v>367</v>
      </c>
      <c r="D301" s="665" t="s">
        <v>368</v>
      </c>
      <c r="E301" s="673" t="s">
        <v>369</v>
      </c>
      <c r="F301" s="673" t="s">
        <v>370</v>
      </c>
      <c r="G301" s="665"/>
      <c r="H301" s="663">
        <v>22</v>
      </c>
      <c r="I301" s="665" t="s">
        <v>373</v>
      </c>
      <c r="J301" s="673">
        <v>0</v>
      </c>
      <c r="K301" s="132">
        <v>2</v>
      </c>
      <c r="L301" s="744"/>
      <c r="M301" s="735"/>
      <c r="N301" s="732"/>
      <c r="O301" s="732"/>
      <c r="P301" s="673" t="s">
        <v>54</v>
      </c>
      <c r="Q301" s="346"/>
      <c r="R301" s="346"/>
      <c r="S301" s="346"/>
      <c r="T301" s="346"/>
      <c r="U301" s="346"/>
      <c r="V301" s="346"/>
      <c r="W301" s="346"/>
      <c r="X301" s="346"/>
      <c r="Y301" s="346"/>
      <c r="Z301" s="346"/>
      <c r="AA301" s="346"/>
      <c r="AB301" s="346"/>
      <c r="AC301" s="346"/>
      <c r="AD301" s="346"/>
      <c r="AE301" s="346"/>
      <c r="AF301" s="349">
        <v>28000000</v>
      </c>
      <c r="AG301" s="349"/>
      <c r="AH301" s="346"/>
      <c r="AI301" s="348"/>
      <c r="AJ301" s="348"/>
      <c r="AK301" s="346">
        <f>Q301+R301+S301+T301+U301+V301+W301+X301+Y301+Z301+AA301+AB301+AC301+AD301+AE301+AF301+AG301+AH301+AI301+AJ301</f>
        <v>28000000</v>
      </c>
    </row>
    <row r="302" spans="1:37" ht="136.5" customHeight="1" x14ac:dyDescent="0.2">
      <c r="A302" s="16"/>
      <c r="B302" s="16"/>
      <c r="C302" s="663" t="s">
        <v>367</v>
      </c>
      <c r="D302" s="665" t="s">
        <v>368</v>
      </c>
      <c r="E302" s="673" t="s">
        <v>369</v>
      </c>
      <c r="F302" s="673" t="s">
        <v>370</v>
      </c>
      <c r="G302" s="665"/>
      <c r="H302" s="663">
        <v>23</v>
      </c>
      <c r="I302" s="665" t="s">
        <v>374</v>
      </c>
      <c r="J302" s="673">
        <v>0</v>
      </c>
      <c r="K302" s="132">
        <v>1</v>
      </c>
      <c r="L302" s="744"/>
      <c r="M302" s="735"/>
      <c r="N302" s="732"/>
      <c r="O302" s="732"/>
      <c r="P302" s="673" t="s">
        <v>41</v>
      </c>
      <c r="Q302" s="346"/>
      <c r="R302" s="346"/>
      <c r="S302" s="346"/>
      <c r="T302" s="346"/>
      <c r="U302" s="346"/>
      <c r="V302" s="346"/>
      <c r="W302" s="346"/>
      <c r="X302" s="346"/>
      <c r="Y302" s="346"/>
      <c r="Z302" s="346"/>
      <c r="AA302" s="346"/>
      <c r="AB302" s="346"/>
      <c r="AC302" s="346"/>
      <c r="AD302" s="346"/>
      <c r="AE302" s="346"/>
      <c r="AF302" s="349">
        <f>114000000+30000000</f>
        <v>144000000</v>
      </c>
      <c r="AG302" s="349"/>
      <c r="AH302" s="346"/>
      <c r="AI302" s="348"/>
      <c r="AJ302" s="348"/>
      <c r="AK302" s="346">
        <f>Q302+R302+S302+T302+U302+V302+W302+X302+Y302+Z302+AA302+AB302+AC302+AD302+AE302+AF302+AG302+AH302+AI302+AJ302</f>
        <v>144000000</v>
      </c>
    </row>
    <row r="303" spans="1:37" ht="136.5" customHeight="1" x14ac:dyDescent="0.2">
      <c r="A303" s="16"/>
      <c r="B303" s="16"/>
      <c r="C303" s="648" t="s">
        <v>367</v>
      </c>
      <c r="D303" s="642" t="s">
        <v>368</v>
      </c>
      <c r="E303" s="648" t="s">
        <v>369</v>
      </c>
      <c r="F303" s="648" t="s">
        <v>370</v>
      </c>
      <c r="G303" s="665"/>
      <c r="H303" s="663">
        <v>24</v>
      </c>
      <c r="I303" s="665" t="s">
        <v>375</v>
      </c>
      <c r="J303" s="673">
        <v>0</v>
      </c>
      <c r="K303" s="549">
        <v>1</v>
      </c>
      <c r="L303" s="745"/>
      <c r="M303" s="736"/>
      <c r="N303" s="733"/>
      <c r="O303" s="733"/>
      <c r="P303" s="673" t="s">
        <v>41</v>
      </c>
      <c r="Q303" s="346"/>
      <c r="R303" s="346"/>
      <c r="S303" s="346"/>
      <c r="T303" s="346"/>
      <c r="U303" s="346"/>
      <c r="V303" s="346"/>
      <c r="W303" s="346"/>
      <c r="X303" s="346"/>
      <c r="Y303" s="346"/>
      <c r="Z303" s="346"/>
      <c r="AA303" s="346"/>
      <c r="AB303" s="346"/>
      <c r="AC303" s="346"/>
      <c r="AD303" s="346"/>
      <c r="AE303" s="346"/>
      <c r="AF303" s="548">
        <f>29000000+15000000+50000000+25000000</f>
        <v>119000000</v>
      </c>
      <c r="AG303" s="349"/>
      <c r="AH303" s="346"/>
      <c r="AI303" s="348"/>
      <c r="AJ303" s="348"/>
      <c r="AK303" s="346">
        <f>Q303+R303+S303+T303+U303+V303+W303+X303+Y303+Z303+AA303+AB303+AC303+AD303+AE303+AF303+AG303+AH303+AI303+AJ303</f>
        <v>119000000</v>
      </c>
    </row>
    <row r="304" spans="1:37" ht="30" customHeight="1" x14ac:dyDescent="0.2">
      <c r="A304" s="16"/>
      <c r="B304" s="16"/>
      <c r="C304" s="649"/>
      <c r="D304" s="644"/>
      <c r="E304" s="649"/>
      <c r="F304" s="649"/>
      <c r="G304" s="203"/>
      <c r="H304" s="203"/>
      <c r="I304" s="123"/>
      <c r="J304" s="122"/>
      <c r="K304" s="204"/>
      <c r="L304" s="205"/>
      <c r="M304" s="591"/>
      <c r="N304" s="129"/>
      <c r="O304" s="129"/>
      <c r="P304" s="122"/>
      <c r="Q304" s="379">
        <f t="shared" ref="Q304:AJ304" si="72">SUM(Q300:Q303)</f>
        <v>0</v>
      </c>
      <c r="R304" s="379">
        <f t="shared" si="72"/>
        <v>0</v>
      </c>
      <c r="S304" s="379">
        <f t="shared" si="72"/>
        <v>0</v>
      </c>
      <c r="T304" s="379">
        <f t="shared" si="72"/>
        <v>0</v>
      </c>
      <c r="U304" s="379">
        <f t="shared" si="72"/>
        <v>0</v>
      </c>
      <c r="V304" s="379">
        <f t="shared" si="72"/>
        <v>0</v>
      </c>
      <c r="W304" s="379">
        <f t="shared" si="72"/>
        <v>0</v>
      </c>
      <c r="X304" s="379">
        <f t="shared" si="72"/>
        <v>0</v>
      </c>
      <c r="Y304" s="379">
        <f t="shared" si="72"/>
        <v>0</v>
      </c>
      <c r="Z304" s="379">
        <f t="shared" si="72"/>
        <v>0</v>
      </c>
      <c r="AA304" s="379">
        <f t="shared" si="72"/>
        <v>0</v>
      </c>
      <c r="AB304" s="379">
        <f t="shared" si="72"/>
        <v>0</v>
      </c>
      <c r="AC304" s="379">
        <f t="shared" si="72"/>
        <v>0</v>
      </c>
      <c r="AD304" s="379">
        <f t="shared" si="72"/>
        <v>0</v>
      </c>
      <c r="AE304" s="379">
        <f t="shared" si="72"/>
        <v>0</v>
      </c>
      <c r="AF304" s="379">
        <f t="shared" si="72"/>
        <v>355000000</v>
      </c>
      <c r="AG304" s="379">
        <f t="shared" si="72"/>
        <v>0</v>
      </c>
      <c r="AH304" s="379">
        <f t="shared" si="72"/>
        <v>0</v>
      </c>
      <c r="AI304" s="379">
        <f t="shared" si="72"/>
        <v>0</v>
      </c>
      <c r="AJ304" s="379">
        <f t="shared" si="72"/>
        <v>0</v>
      </c>
      <c r="AK304" s="379">
        <f>SUM(AK300:AK303)</f>
        <v>355000000</v>
      </c>
    </row>
    <row r="305" spans="1:37" ht="30" customHeight="1" x14ac:dyDescent="0.2">
      <c r="A305" s="16"/>
      <c r="B305" s="16"/>
      <c r="C305" s="663"/>
      <c r="D305" s="665"/>
      <c r="E305" s="673"/>
      <c r="F305" s="673"/>
      <c r="G305" s="644"/>
      <c r="H305" s="155"/>
      <c r="I305" s="665"/>
      <c r="J305" s="673"/>
      <c r="K305" s="182"/>
      <c r="L305" s="206"/>
      <c r="M305" s="644"/>
      <c r="N305" s="649"/>
      <c r="O305" s="649"/>
      <c r="P305" s="673"/>
      <c r="Q305" s="346"/>
      <c r="R305" s="372"/>
      <c r="S305" s="346"/>
      <c r="T305" s="346"/>
      <c r="U305" s="346"/>
      <c r="V305" s="346"/>
      <c r="W305" s="346"/>
      <c r="X305" s="346"/>
      <c r="Y305" s="346"/>
      <c r="Z305" s="346"/>
      <c r="AA305" s="346"/>
      <c r="AB305" s="346"/>
      <c r="AC305" s="346"/>
      <c r="AD305" s="346"/>
      <c r="AE305" s="346"/>
      <c r="AF305" s="349" t="s">
        <v>56</v>
      </c>
      <c r="AG305" s="349"/>
      <c r="AH305" s="348"/>
      <c r="AI305" s="348"/>
      <c r="AJ305" s="348"/>
      <c r="AK305" s="348" t="s">
        <v>56</v>
      </c>
    </row>
    <row r="306" spans="1:37" ht="30" customHeight="1" x14ac:dyDescent="0.2">
      <c r="A306" s="16"/>
      <c r="B306" s="16"/>
      <c r="C306" s="648"/>
      <c r="D306" s="642"/>
      <c r="E306" s="648"/>
      <c r="F306" s="648"/>
      <c r="G306" s="203">
        <v>5</v>
      </c>
      <c r="H306" s="207" t="s">
        <v>376</v>
      </c>
      <c r="I306" s="123"/>
      <c r="J306" s="122"/>
      <c r="K306" s="204"/>
      <c r="L306" s="204"/>
      <c r="M306" s="123"/>
      <c r="N306" s="122"/>
      <c r="O306" s="122"/>
      <c r="P306" s="122"/>
      <c r="Q306" s="379"/>
      <c r="R306" s="379"/>
      <c r="S306" s="379"/>
      <c r="T306" s="379"/>
      <c r="U306" s="379"/>
      <c r="V306" s="379"/>
      <c r="W306" s="379"/>
      <c r="X306" s="379"/>
      <c r="Y306" s="379"/>
      <c r="Z306" s="379"/>
      <c r="AA306" s="379"/>
      <c r="AB306" s="379"/>
      <c r="AC306" s="379"/>
      <c r="AD306" s="379"/>
      <c r="AE306" s="379"/>
      <c r="AF306" s="407"/>
      <c r="AG306" s="407"/>
      <c r="AH306" s="407">
        <f>SUM(AH300:AH303)</f>
        <v>0</v>
      </c>
      <c r="AI306" s="407"/>
      <c r="AJ306" s="407"/>
      <c r="AK306" s="407"/>
    </row>
    <row r="307" spans="1:37" ht="135" customHeight="1" x14ac:dyDescent="0.2">
      <c r="A307" s="16"/>
      <c r="B307" s="16"/>
      <c r="C307" s="649" t="s">
        <v>367</v>
      </c>
      <c r="D307" s="644" t="s">
        <v>368</v>
      </c>
      <c r="E307" s="649" t="s">
        <v>369</v>
      </c>
      <c r="F307" s="649" t="s">
        <v>370</v>
      </c>
      <c r="G307" s="110"/>
      <c r="H307" s="673">
        <v>25</v>
      </c>
      <c r="I307" s="665" t="s">
        <v>377</v>
      </c>
      <c r="J307" s="673" t="s">
        <v>32</v>
      </c>
      <c r="K307" s="132">
        <v>2</v>
      </c>
      <c r="L307" s="743">
        <v>2017003630061</v>
      </c>
      <c r="M307" s="734" t="s">
        <v>84</v>
      </c>
      <c r="N307" s="731" t="s">
        <v>378</v>
      </c>
      <c r="O307" s="731" t="s">
        <v>885</v>
      </c>
      <c r="P307" s="673" t="s">
        <v>54</v>
      </c>
      <c r="Q307" s="346"/>
      <c r="R307" s="346"/>
      <c r="S307" s="346"/>
      <c r="T307" s="346"/>
      <c r="U307" s="346"/>
      <c r="V307" s="346"/>
      <c r="W307" s="346"/>
      <c r="X307" s="346"/>
      <c r="Y307" s="346"/>
      <c r="Z307" s="346"/>
      <c r="AA307" s="346"/>
      <c r="AB307" s="346"/>
      <c r="AC307" s="346"/>
      <c r="AD307" s="346"/>
      <c r="AE307" s="346"/>
      <c r="AF307" s="349">
        <v>150000000</v>
      </c>
      <c r="AG307" s="349"/>
      <c r="AH307" s="346"/>
      <c r="AI307" s="546">
        <f>600000000-600000000</f>
        <v>0</v>
      </c>
      <c r="AJ307" s="348"/>
      <c r="AK307" s="346">
        <f t="shared" ref="AK307:AK312" si="73">Q307+R307+S307+T307+U307+V307+W307+X307+Y307+Z307+AA307+AB307+AC307+AD307+AE307+AF307+AG307+AH307+AI307+AJ307</f>
        <v>150000000</v>
      </c>
    </row>
    <row r="308" spans="1:37" ht="135" customHeight="1" x14ac:dyDescent="0.2">
      <c r="A308" s="16"/>
      <c r="B308" s="16"/>
      <c r="C308" s="663" t="s">
        <v>367</v>
      </c>
      <c r="D308" s="665" t="s">
        <v>368</v>
      </c>
      <c r="E308" s="673" t="s">
        <v>369</v>
      </c>
      <c r="F308" s="673" t="s">
        <v>370</v>
      </c>
      <c r="G308" s="110"/>
      <c r="H308" s="673">
        <v>26</v>
      </c>
      <c r="I308" s="665" t="s">
        <v>379</v>
      </c>
      <c r="J308" s="673" t="s">
        <v>32</v>
      </c>
      <c r="K308" s="132">
        <v>2</v>
      </c>
      <c r="L308" s="744"/>
      <c r="M308" s="735"/>
      <c r="N308" s="732"/>
      <c r="O308" s="732"/>
      <c r="P308" s="673" t="s">
        <v>54</v>
      </c>
      <c r="Q308" s="346"/>
      <c r="R308" s="346"/>
      <c r="S308" s="346"/>
      <c r="T308" s="346"/>
      <c r="U308" s="346"/>
      <c r="V308" s="346"/>
      <c r="W308" s="346"/>
      <c r="X308" s="346"/>
      <c r="Y308" s="346"/>
      <c r="Z308" s="346"/>
      <c r="AA308" s="346"/>
      <c r="AB308" s="346"/>
      <c r="AC308" s="346"/>
      <c r="AD308" s="346"/>
      <c r="AE308" s="346"/>
      <c r="AF308" s="349">
        <v>28000000</v>
      </c>
      <c r="AG308" s="349"/>
      <c r="AH308" s="346"/>
      <c r="AI308" s="546">
        <f>400000000-400000000</f>
        <v>0</v>
      </c>
      <c r="AJ308" s="348"/>
      <c r="AK308" s="346">
        <f t="shared" si="73"/>
        <v>28000000</v>
      </c>
    </row>
    <row r="309" spans="1:37" ht="135" customHeight="1" x14ac:dyDescent="0.2">
      <c r="A309" s="16"/>
      <c r="B309" s="16"/>
      <c r="C309" s="663" t="s">
        <v>367</v>
      </c>
      <c r="D309" s="665" t="s">
        <v>368</v>
      </c>
      <c r="E309" s="673" t="s">
        <v>369</v>
      </c>
      <c r="F309" s="673" t="s">
        <v>370</v>
      </c>
      <c r="G309" s="110"/>
      <c r="H309" s="673">
        <v>27</v>
      </c>
      <c r="I309" s="665" t="s">
        <v>380</v>
      </c>
      <c r="J309" s="673">
        <v>0</v>
      </c>
      <c r="K309" s="132">
        <v>2</v>
      </c>
      <c r="L309" s="744"/>
      <c r="M309" s="735"/>
      <c r="N309" s="732"/>
      <c r="O309" s="732"/>
      <c r="P309" s="673" t="s">
        <v>54</v>
      </c>
      <c r="Q309" s="346"/>
      <c r="R309" s="346"/>
      <c r="S309" s="346"/>
      <c r="T309" s="346"/>
      <c r="U309" s="346"/>
      <c r="V309" s="346"/>
      <c r="W309" s="346"/>
      <c r="X309" s="346"/>
      <c r="Y309" s="346"/>
      <c r="Z309" s="346"/>
      <c r="AA309" s="346"/>
      <c r="AB309" s="346"/>
      <c r="AC309" s="346"/>
      <c r="AD309" s="346"/>
      <c r="AE309" s="346"/>
      <c r="AF309" s="548">
        <f>0+300000000</f>
        <v>300000000</v>
      </c>
      <c r="AG309" s="349"/>
      <c r="AH309" s="346"/>
      <c r="AI309" s="348"/>
      <c r="AJ309" s="348"/>
      <c r="AK309" s="346">
        <f t="shared" si="73"/>
        <v>300000000</v>
      </c>
    </row>
    <row r="310" spans="1:37" ht="135" customHeight="1" x14ac:dyDescent="0.2">
      <c r="A310" s="16"/>
      <c r="B310" s="16"/>
      <c r="C310" s="663" t="s">
        <v>367</v>
      </c>
      <c r="D310" s="665" t="s">
        <v>368</v>
      </c>
      <c r="E310" s="673" t="s">
        <v>369</v>
      </c>
      <c r="F310" s="673" t="s">
        <v>370</v>
      </c>
      <c r="G310" s="110"/>
      <c r="H310" s="673">
        <v>28</v>
      </c>
      <c r="I310" s="665" t="s">
        <v>381</v>
      </c>
      <c r="J310" s="673" t="s">
        <v>32</v>
      </c>
      <c r="K310" s="132">
        <v>2</v>
      </c>
      <c r="L310" s="745"/>
      <c r="M310" s="735"/>
      <c r="N310" s="733"/>
      <c r="O310" s="733"/>
      <c r="P310" s="673" t="s">
        <v>54</v>
      </c>
      <c r="Q310" s="346"/>
      <c r="R310" s="346"/>
      <c r="S310" s="346"/>
      <c r="T310" s="346"/>
      <c r="U310" s="346"/>
      <c r="V310" s="346"/>
      <c r="W310" s="346"/>
      <c r="X310" s="346"/>
      <c r="Y310" s="346"/>
      <c r="Z310" s="346"/>
      <c r="AA310" s="346"/>
      <c r="AB310" s="346"/>
      <c r="AC310" s="346"/>
      <c r="AD310" s="346"/>
      <c r="AE310" s="346"/>
      <c r="AF310" s="349">
        <v>21000000</v>
      </c>
      <c r="AG310" s="349"/>
      <c r="AH310" s="346"/>
      <c r="AI310" s="348"/>
      <c r="AJ310" s="348"/>
      <c r="AK310" s="346">
        <f t="shared" si="73"/>
        <v>21000000</v>
      </c>
    </row>
    <row r="311" spans="1:37" ht="135" customHeight="1" x14ac:dyDescent="0.2">
      <c r="A311" s="16"/>
      <c r="B311" s="16"/>
      <c r="C311" s="663" t="s">
        <v>367</v>
      </c>
      <c r="D311" s="665" t="s">
        <v>368</v>
      </c>
      <c r="E311" s="673" t="s">
        <v>369</v>
      </c>
      <c r="F311" s="673" t="s">
        <v>370</v>
      </c>
      <c r="G311" s="110"/>
      <c r="H311" s="673">
        <v>29</v>
      </c>
      <c r="I311" s="665" t="s">
        <v>382</v>
      </c>
      <c r="J311" s="673">
        <v>0</v>
      </c>
      <c r="K311" s="132">
        <v>1</v>
      </c>
      <c r="L311" s="20">
        <v>2017003630076</v>
      </c>
      <c r="M311" s="735"/>
      <c r="N311" s="649" t="s">
        <v>383</v>
      </c>
      <c r="O311" s="649" t="s">
        <v>384</v>
      </c>
      <c r="P311" s="673" t="s">
        <v>41</v>
      </c>
      <c r="Q311" s="346"/>
      <c r="R311" s="346"/>
      <c r="S311" s="346"/>
      <c r="T311" s="346"/>
      <c r="U311" s="346"/>
      <c r="V311" s="346"/>
      <c r="W311" s="346"/>
      <c r="X311" s="346"/>
      <c r="Y311" s="346"/>
      <c r="Z311" s="346"/>
      <c r="AA311" s="346"/>
      <c r="AB311" s="346"/>
      <c r="AC311" s="346"/>
      <c r="AD311" s="346"/>
      <c r="AE311" s="346"/>
      <c r="AF311" s="349">
        <v>14000000</v>
      </c>
      <c r="AG311" s="349"/>
      <c r="AH311" s="346"/>
      <c r="AI311" s="348"/>
      <c r="AJ311" s="348"/>
      <c r="AK311" s="346">
        <f t="shared" si="73"/>
        <v>14000000</v>
      </c>
    </row>
    <row r="312" spans="1:37" ht="135" customHeight="1" x14ac:dyDescent="0.2">
      <c r="A312" s="16"/>
      <c r="B312" s="16"/>
      <c r="C312" s="648" t="s">
        <v>367</v>
      </c>
      <c r="D312" s="642" t="s">
        <v>368</v>
      </c>
      <c r="E312" s="648" t="s">
        <v>369</v>
      </c>
      <c r="F312" s="648" t="s">
        <v>370</v>
      </c>
      <c r="G312" s="208"/>
      <c r="H312" s="673">
        <v>30</v>
      </c>
      <c r="I312" s="665" t="s">
        <v>385</v>
      </c>
      <c r="J312" s="673">
        <v>1</v>
      </c>
      <c r="K312" s="132">
        <v>1</v>
      </c>
      <c r="L312" s="20">
        <v>2017003630065</v>
      </c>
      <c r="M312" s="736"/>
      <c r="N312" s="18" t="s">
        <v>386</v>
      </c>
      <c r="O312" s="665" t="s">
        <v>387</v>
      </c>
      <c r="P312" s="673" t="s">
        <v>41</v>
      </c>
      <c r="Q312" s="346"/>
      <c r="R312" s="346"/>
      <c r="S312" s="346"/>
      <c r="T312" s="346"/>
      <c r="U312" s="346"/>
      <c r="V312" s="346"/>
      <c r="W312" s="346"/>
      <c r="X312" s="346"/>
      <c r="Y312" s="346"/>
      <c r="Z312" s="346"/>
      <c r="AA312" s="346"/>
      <c r="AB312" s="346"/>
      <c r="AC312" s="346"/>
      <c r="AD312" s="346"/>
      <c r="AE312" s="346"/>
      <c r="AF312" s="349">
        <f>14000000+50000000</f>
        <v>64000000</v>
      </c>
      <c r="AG312" s="349"/>
      <c r="AH312" s="346"/>
      <c r="AI312" s="346"/>
      <c r="AJ312" s="346"/>
      <c r="AK312" s="346">
        <f t="shared" si="73"/>
        <v>64000000</v>
      </c>
    </row>
    <row r="313" spans="1:37" ht="30" customHeight="1" x14ac:dyDescent="0.2">
      <c r="A313" s="16"/>
      <c r="B313" s="16"/>
      <c r="C313" s="649"/>
      <c r="D313" s="644"/>
      <c r="E313" s="649"/>
      <c r="F313" s="649"/>
      <c r="G313" s="50"/>
      <c r="H313" s="209"/>
      <c r="I313" s="210"/>
      <c r="J313" s="211"/>
      <c r="K313" s="212"/>
      <c r="L313" s="212"/>
      <c r="M313" s="210"/>
      <c r="N313" s="211"/>
      <c r="O313" s="210"/>
      <c r="P313" s="211"/>
      <c r="Q313" s="355">
        <f t="shared" ref="Q313:AJ313" si="74">SUM(Q307:Q312)</f>
        <v>0</v>
      </c>
      <c r="R313" s="355">
        <f t="shared" si="74"/>
        <v>0</v>
      </c>
      <c r="S313" s="355">
        <f t="shared" si="74"/>
        <v>0</v>
      </c>
      <c r="T313" s="355">
        <f t="shared" si="74"/>
        <v>0</v>
      </c>
      <c r="U313" s="355">
        <f t="shared" si="74"/>
        <v>0</v>
      </c>
      <c r="V313" s="355">
        <f t="shared" si="74"/>
        <v>0</v>
      </c>
      <c r="W313" s="355">
        <f t="shared" si="74"/>
        <v>0</v>
      </c>
      <c r="X313" s="355">
        <f t="shared" si="74"/>
        <v>0</v>
      </c>
      <c r="Y313" s="355">
        <f t="shared" si="74"/>
        <v>0</v>
      </c>
      <c r="Z313" s="355">
        <f t="shared" si="74"/>
        <v>0</v>
      </c>
      <c r="AA313" s="355">
        <f t="shared" si="74"/>
        <v>0</v>
      </c>
      <c r="AB313" s="355">
        <f t="shared" si="74"/>
        <v>0</v>
      </c>
      <c r="AC313" s="355">
        <f t="shared" si="74"/>
        <v>0</v>
      </c>
      <c r="AD313" s="355">
        <f t="shared" si="74"/>
        <v>0</v>
      </c>
      <c r="AE313" s="355">
        <f t="shared" si="74"/>
        <v>0</v>
      </c>
      <c r="AF313" s="355">
        <f t="shared" si="74"/>
        <v>577000000</v>
      </c>
      <c r="AG313" s="355">
        <f t="shared" si="74"/>
        <v>0</v>
      </c>
      <c r="AH313" s="355">
        <f t="shared" si="74"/>
        <v>0</v>
      </c>
      <c r="AI313" s="355">
        <f t="shared" si="74"/>
        <v>0</v>
      </c>
      <c r="AJ313" s="355">
        <f t="shared" si="74"/>
        <v>0</v>
      </c>
      <c r="AK313" s="355">
        <f>SUM(AK307:AK312)</f>
        <v>577000000</v>
      </c>
    </row>
    <row r="314" spans="1:37" ht="30" customHeight="1" x14ac:dyDescent="0.2">
      <c r="A314" s="16"/>
      <c r="B314" s="16"/>
      <c r="C314" s="116"/>
      <c r="D314" s="44"/>
      <c r="E314" s="116"/>
      <c r="F314" s="116"/>
      <c r="G314" s="213"/>
      <c r="H314" s="95"/>
      <c r="I314" s="44"/>
      <c r="J314" s="116"/>
      <c r="K314" s="186"/>
      <c r="L314" s="186"/>
      <c r="M314" s="44"/>
      <c r="N314" s="116"/>
      <c r="O314" s="44"/>
      <c r="P314" s="116"/>
      <c r="Q314" s="350"/>
      <c r="R314" s="351"/>
      <c r="S314" s="350"/>
      <c r="T314" s="350"/>
      <c r="U314" s="350"/>
      <c r="V314" s="350"/>
      <c r="W314" s="350"/>
      <c r="X314" s="350"/>
      <c r="Y314" s="350"/>
      <c r="Z314" s="350"/>
      <c r="AA314" s="350"/>
      <c r="AB314" s="350"/>
      <c r="AC314" s="350"/>
      <c r="AD314" s="350"/>
      <c r="AE314" s="350"/>
      <c r="AF314" s="352"/>
      <c r="AG314" s="350"/>
      <c r="AH314" s="350"/>
      <c r="AI314" s="350"/>
      <c r="AJ314" s="351"/>
      <c r="AK314" s="350"/>
    </row>
    <row r="315" spans="1:37" ht="30" customHeight="1" x14ac:dyDescent="0.2">
      <c r="A315" s="16"/>
      <c r="B315" s="16"/>
      <c r="C315" s="648"/>
      <c r="D315" s="642"/>
      <c r="E315" s="648"/>
      <c r="F315" s="648"/>
      <c r="G315" s="108">
        <v>6</v>
      </c>
      <c r="H315" s="77" t="s">
        <v>388</v>
      </c>
      <c r="I315" s="52"/>
      <c r="J315" s="52"/>
      <c r="K315" s="184"/>
      <c r="L315" s="184"/>
      <c r="M315" s="581"/>
      <c r="N315" s="136"/>
      <c r="O315" s="52"/>
      <c r="P315" s="52"/>
      <c r="Q315" s="231"/>
      <c r="R315" s="231"/>
      <c r="S315" s="231"/>
      <c r="T315" s="231"/>
      <c r="U315" s="231"/>
      <c r="V315" s="231"/>
      <c r="W315" s="231"/>
      <c r="X315" s="231"/>
      <c r="Y315" s="231"/>
      <c r="Z315" s="231"/>
      <c r="AA315" s="231"/>
      <c r="AB315" s="231"/>
      <c r="AC315" s="231"/>
      <c r="AD315" s="231"/>
      <c r="AE315" s="231"/>
      <c r="AF315" s="359"/>
      <c r="AG315" s="231"/>
      <c r="AH315" s="231"/>
      <c r="AI315" s="231"/>
      <c r="AJ315" s="231"/>
      <c r="AK315" s="233"/>
    </row>
    <row r="316" spans="1:37" ht="66.75" customHeight="1" x14ac:dyDescent="0.2">
      <c r="A316" s="16"/>
      <c r="B316" s="16"/>
      <c r="C316" s="649">
        <v>5</v>
      </c>
      <c r="D316" s="644" t="s">
        <v>389</v>
      </c>
      <c r="E316" s="649">
        <v>12.9</v>
      </c>
      <c r="F316" s="649">
        <v>8.9</v>
      </c>
      <c r="G316" s="214"/>
      <c r="H316" s="18">
        <v>31</v>
      </c>
      <c r="I316" s="665" t="s">
        <v>390</v>
      </c>
      <c r="J316" s="673" t="s">
        <v>32</v>
      </c>
      <c r="K316" s="516">
        <v>4</v>
      </c>
      <c r="L316" s="743">
        <v>2017003630073</v>
      </c>
      <c r="M316" s="734" t="s">
        <v>84</v>
      </c>
      <c r="N316" s="731" t="s">
        <v>391</v>
      </c>
      <c r="O316" s="734" t="s">
        <v>886</v>
      </c>
      <c r="P316" s="673" t="s">
        <v>41</v>
      </c>
      <c r="Q316" s="346"/>
      <c r="R316" s="346"/>
      <c r="S316" s="346"/>
      <c r="T316" s="346"/>
      <c r="U316" s="346"/>
      <c r="V316" s="346"/>
      <c r="W316" s="346"/>
      <c r="X316" s="346"/>
      <c r="Y316" s="346"/>
      <c r="Z316" s="346"/>
      <c r="AA316" s="346"/>
      <c r="AB316" s="346"/>
      <c r="AC316" s="346"/>
      <c r="AD316" s="346"/>
      <c r="AE316" s="346"/>
      <c r="AF316" s="547">
        <f>60000000+44000000+15000000+10000000</f>
        <v>129000000</v>
      </c>
      <c r="AG316" s="347"/>
      <c r="AH316" s="346"/>
      <c r="AI316" s="348"/>
      <c r="AJ316" s="348"/>
      <c r="AK316" s="346">
        <f>Q316+R316+S316+T316+U316+V316+W316+X316+Y316+Z316+AA316+AB316+AC316+AD316+AE316+AF316+AG316+AH316+AI316+AJ316</f>
        <v>129000000</v>
      </c>
    </row>
    <row r="317" spans="1:37" ht="66.75" customHeight="1" x14ac:dyDescent="0.2">
      <c r="A317" s="16"/>
      <c r="B317" s="16"/>
      <c r="C317" s="655">
        <v>6</v>
      </c>
      <c r="D317" s="643" t="s">
        <v>392</v>
      </c>
      <c r="E317" s="638">
        <v>3.4</v>
      </c>
      <c r="F317" s="638">
        <v>4.5999999999999996</v>
      </c>
      <c r="G317" s="214"/>
      <c r="H317" s="18">
        <v>32</v>
      </c>
      <c r="I317" s="665" t="s">
        <v>393</v>
      </c>
      <c r="J317" s="673" t="s">
        <v>32</v>
      </c>
      <c r="K317" s="132">
        <v>30</v>
      </c>
      <c r="L317" s="744"/>
      <c r="M317" s="735"/>
      <c r="N317" s="732"/>
      <c r="O317" s="735"/>
      <c r="P317" s="673" t="s">
        <v>54</v>
      </c>
      <c r="Q317" s="346">
        <v>0</v>
      </c>
      <c r="R317" s="346">
        <v>0</v>
      </c>
      <c r="S317" s="346">
        <v>0</v>
      </c>
      <c r="T317" s="346">
        <v>0</v>
      </c>
      <c r="U317" s="346">
        <v>0</v>
      </c>
      <c r="V317" s="346">
        <v>0</v>
      </c>
      <c r="W317" s="346">
        <v>0</v>
      </c>
      <c r="X317" s="346"/>
      <c r="Y317" s="346"/>
      <c r="Z317" s="346">
        <v>0</v>
      </c>
      <c r="AA317" s="346">
        <v>0</v>
      </c>
      <c r="AB317" s="346"/>
      <c r="AC317" s="346"/>
      <c r="AD317" s="346">
        <v>0</v>
      </c>
      <c r="AE317" s="346">
        <v>0</v>
      </c>
      <c r="AF317" s="547">
        <f>106000000+34000000+30000000+35000000+85000000</f>
        <v>290000000</v>
      </c>
      <c r="AG317" s="347"/>
      <c r="AH317" s="346">
        <v>0</v>
      </c>
      <c r="AI317" s="348"/>
      <c r="AJ317" s="348">
        <v>0</v>
      </c>
      <c r="AK317" s="346">
        <f>Q317+R317+S317+T317+U317+V317+W317+X317+Y317+Z317+AA317+AB317+AC317+AD317+AE317+AF317+AG317+AH317+AI317+AJ317</f>
        <v>290000000</v>
      </c>
    </row>
    <row r="318" spans="1:37" ht="66.75" customHeight="1" x14ac:dyDescent="0.2">
      <c r="A318" s="16"/>
      <c r="B318" s="16"/>
      <c r="C318" s="152">
        <v>7</v>
      </c>
      <c r="D318" s="644" t="s">
        <v>394</v>
      </c>
      <c r="E318" s="649">
        <v>31.7</v>
      </c>
      <c r="F318" s="649">
        <v>27</v>
      </c>
      <c r="G318" s="214"/>
      <c r="H318" s="18">
        <v>33</v>
      </c>
      <c r="I318" s="665" t="s">
        <v>395</v>
      </c>
      <c r="J318" s="673" t="s">
        <v>32</v>
      </c>
      <c r="K318" s="132">
        <v>400</v>
      </c>
      <c r="L318" s="744"/>
      <c r="M318" s="735"/>
      <c r="N318" s="732"/>
      <c r="O318" s="735"/>
      <c r="P318" s="673" t="s">
        <v>54</v>
      </c>
      <c r="Q318" s="408">
        <v>0</v>
      </c>
      <c r="R318" s="346">
        <v>0</v>
      </c>
      <c r="S318" s="346">
        <v>0</v>
      </c>
      <c r="T318" s="346">
        <v>0</v>
      </c>
      <c r="U318" s="346">
        <v>0</v>
      </c>
      <c r="V318" s="346">
        <v>0</v>
      </c>
      <c r="W318" s="346">
        <v>0</v>
      </c>
      <c r="X318" s="346"/>
      <c r="Y318" s="346"/>
      <c r="Z318" s="346">
        <v>0</v>
      </c>
      <c r="AA318" s="346">
        <v>0</v>
      </c>
      <c r="AB318" s="346"/>
      <c r="AC318" s="346"/>
      <c r="AD318" s="346">
        <v>0</v>
      </c>
      <c r="AE318" s="346">
        <v>0</v>
      </c>
      <c r="AF318" s="547">
        <f>16000000+12000000</f>
        <v>28000000</v>
      </c>
      <c r="AG318" s="347"/>
      <c r="AH318" s="346">
        <v>0</v>
      </c>
      <c r="AI318" s="348"/>
      <c r="AJ318" s="348">
        <v>0</v>
      </c>
      <c r="AK318" s="346">
        <f>Q318+R318+S318+T318+U318+V318+W318+X318+Y318+Z318+AA318+AB318+AC318+AD318+AE318+AF318+AG318+AH318+AI318+AJ318</f>
        <v>28000000</v>
      </c>
    </row>
    <row r="319" spans="1:37" ht="66.75" customHeight="1" x14ac:dyDescent="0.2">
      <c r="A319" s="16"/>
      <c r="B319" s="16"/>
      <c r="C319" s="648"/>
      <c r="D319" s="642"/>
      <c r="E319" s="648"/>
      <c r="F319" s="648"/>
      <c r="G319" s="215"/>
      <c r="H319" s="18">
        <v>34</v>
      </c>
      <c r="I319" s="665" t="s">
        <v>396</v>
      </c>
      <c r="J319" s="673" t="s">
        <v>32</v>
      </c>
      <c r="K319" s="132">
        <v>600</v>
      </c>
      <c r="L319" s="745"/>
      <c r="M319" s="736"/>
      <c r="N319" s="733"/>
      <c r="O319" s="736"/>
      <c r="P319" s="673" t="s">
        <v>54</v>
      </c>
      <c r="Q319" s="346">
        <v>0</v>
      </c>
      <c r="R319" s="346">
        <v>0</v>
      </c>
      <c r="S319" s="346">
        <v>0</v>
      </c>
      <c r="T319" s="346">
        <v>0</v>
      </c>
      <c r="U319" s="346">
        <v>0</v>
      </c>
      <c r="V319" s="346">
        <v>0</v>
      </c>
      <c r="W319" s="346">
        <v>0</v>
      </c>
      <c r="X319" s="346"/>
      <c r="Y319" s="346"/>
      <c r="Z319" s="346">
        <v>0</v>
      </c>
      <c r="AA319" s="346">
        <v>0</v>
      </c>
      <c r="AB319" s="346"/>
      <c r="AC319" s="346"/>
      <c r="AD319" s="346">
        <v>0</v>
      </c>
      <c r="AE319" s="346">
        <v>0</v>
      </c>
      <c r="AF319" s="547">
        <f>17000000+11000000</f>
        <v>28000000</v>
      </c>
      <c r="AG319" s="347"/>
      <c r="AH319" s="346">
        <v>0</v>
      </c>
      <c r="AI319" s="348"/>
      <c r="AJ319" s="348">
        <v>0</v>
      </c>
      <c r="AK319" s="346">
        <f>Q319+R319+S319+T319+U319+V319+W319+X319+Y319+Z319+AA319+AB319+AC319+AD319+AE319+AF319+AG319+AH319+AI319+AJ319</f>
        <v>28000000</v>
      </c>
    </row>
    <row r="320" spans="1:37" ht="30" customHeight="1" x14ac:dyDescent="0.2">
      <c r="A320" s="16"/>
      <c r="B320" s="16"/>
      <c r="C320" s="65"/>
      <c r="D320" s="65"/>
      <c r="E320" s="65"/>
      <c r="F320" s="65"/>
      <c r="G320" s="151"/>
      <c r="H320" s="32"/>
      <c r="I320" s="151"/>
      <c r="J320" s="151"/>
      <c r="K320" s="515"/>
      <c r="L320" s="151"/>
      <c r="M320" s="151"/>
      <c r="N320" s="32"/>
      <c r="O320" s="151"/>
      <c r="P320" s="32"/>
      <c r="Q320" s="355">
        <f t="shared" ref="Q320:AJ320" si="75">SUM(Q316:Q319)</f>
        <v>0</v>
      </c>
      <c r="R320" s="355">
        <f t="shared" si="75"/>
        <v>0</v>
      </c>
      <c r="S320" s="355">
        <f t="shared" si="75"/>
        <v>0</v>
      </c>
      <c r="T320" s="355">
        <f t="shared" si="75"/>
        <v>0</v>
      </c>
      <c r="U320" s="355">
        <f t="shared" si="75"/>
        <v>0</v>
      </c>
      <c r="V320" s="355">
        <f t="shared" si="75"/>
        <v>0</v>
      </c>
      <c r="W320" s="355">
        <f t="shared" si="75"/>
        <v>0</v>
      </c>
      <c r="X320" s="355">
        <f t="shared" si="75"/>
        <v>0</v>
      </c>
      <c r="Y320" s="355">
        <f t="shared" si="75"/>
        <v>0</v>
      </c>
      <c r="Z320" s="355">
        <f t="shared" si="75"/>
        <v>0</v>
      </c>
      <c r="AA320" s="355">
        <f t="shared" si="75"/>
        <v>0</v>
      </c>
      <c r="AB320" s="355">
        <f t="shared" si="75"/>
        <v>0</v>
      </c>
      <c r="AC320" s="355">
        <f t="shared" si="75"/>
        <v>0</v>
      </c>
      <c r="AD320" s="355">
        <f t="shared" si="75"/>
        <v>0</v>
      </c>
      <c r="AE320" s="355">
        <f t="shared" si="75"/>
        <v>0</v>
      </c>
      <c r="AF320" s="355">
        <f t="shared" si="75"/>
        <v>475000000</v>
      </c>
      <c r="AG320" s="355">
        <f t="shared" si="75"/>
        <v>0</v>
      </c>
      <c r="AH320" s="355">
        <f t="shared" si="75"/>
        <v>0</v>
      </c>
      <c r="AI320" s="355">
        <f t="shared" si="75"/>
        <v>0</v>
      </c>
      <c r="AJ320" s="355">
        <f t="shared" si="75"/>
        <v>0</v>
      </c>
      <c r="AK320" s="355">
        <f>SUM(AK316:AK319)</f>
        <v>475000000</v>
      </c>
    </row>
    <row r="321" spans="1:37" ht="30" customHeight="1" x14ac:dyDescent="0.2">
      <c r="A321" s="16"/>
      <c r="B321" s="16"/>
      <c r="C321" s="116"/>
      <c r="D321" s="116"/>
      <c r="E321" s="116"/>
      <c r="F321" s="116"/>
      <c r="G321" s="62"/>
      <c r="H321" s="45"/>
      <c r="I321" s="62"/>
      <c r="J321" s="62"/>
      <c r="K321" s="62"/>
      <c r="L321" s="62"/>
      <c r="M321" s="62"/>
      <c r="N321" s="45"/>
      <c r="O321" s="62"/>
      <c r="P321" s="45"/>
      <c r="Q321" s="350"/>
      <c r="R321" s="351"/>
      <c r="S321" s="350"/>
      <c r="T321" s="350"/>
      <c r="U321" s="350"/>
      <c r="V321" s="350"/>
      <c r="W321" s="350"/>
      <c r="X321" s="350"/>
      <c r="Y321" s="350"/>
      <c r="Z321" s="350"/>
      <c r="AA321" s="350"/>
      <c r="AB321" s="350"/>
      <c r="AC321" s="350"/>
      <c r="AD321" s="350"/>
      <c r="AE321" s="350"/>
      <c r="AF321" s="352" t="s">
        <v>56</v>
      </c>
      <c r="AG321" s="353"/>
      <c r="AH321" s="350"/>
      <c r="AI321" s="350"/>
      <c r="AJ321" s="351"/>
      <c r="AK321" s="350" t="s">
        <v>56</v>
      </c>
    </row>
    <row r="322" spans="1:37" ht="43.5" customHeight="1" x14ac:dyDescent="0.2">
      <c r="A322" s="16"/>
      <c r="B322" s="16"/>
      <c r="C322" s="648"/>
      <c r="D322" s="648"/>
      <c r="E322" s="648"/>
      <c r="F322" s="648"/>
      <c r="G322" s="216">
        <v>7</v>
      </c>
      <c r="H322" s="77" t="s">
        <v>397</v>
      </c>
      <c r="I322" s="52"/>
      <c r="J322" s="52"/>
      <c r="K322" s="52"/>
      <c r="L322" s="52"/>
      <c r="M322" s="581"/>
      <c r="N322" s="136"/>
      <c r="O322" s="52"/>
      <c r="P322" s="52"/>
      <c r="Q322" s="231"/>
      <c r="R322" s="231"/>
      <c r="S322" s="231"/>
      <c r="T322" s="231"/>
      <c r="U322" s="231"/>
      <c r="V322" s="231"/>
      <c r="W322" s="231"/>
      <c r="X322" s="231"/>
      <c r="Y322" s="231"/>
      <c r="Z322" s="231"/>
      <c r="AA322" s="231"/>
      <c r="AB322" s="231"/>
      <c r="AC322" s="231"/>
      <c r="AD322" s="231"/>
      <c r="AE322" s="231"/>
      <c r="AF322" s="359"/>
      <c r="AG322" s="231"/>
      <c r="AH322" s="231"/>
      <c r="AI322" s="231"/>
      <c r="AJ322" s="231"/>
      <c r="AK322" s="233"/>
    </row>
    <row r="323" spans="1:37" ht="129.75" customHeight="1" x14ac:dyDescent="0.2">
      <c r="A323" s="16"/>
      <c r="B323" s="16"/>
      <c r="C323" s="649" t="s">
        <v>367</v>
      </c>
      <c r="D323" s="644" t="s">
        <v>368</v>
      </c>
      <c r="E323" s="649" t="s">
        <v>369</v>
      </c>
      <c r="F323" s="649" t="s">
        <v>370</v>
      </c>
      <c r="G323" s="23"/>
      <c r="H323" s="673">
        <v>35</v>
      </c>
      <c r="I323" s="665" t="s">
        <v>398</v>
      </c>
      <c r="J323" s="673">
        <v>0</v>
      </c>
      <c r="K323" s="653">
        <v>5</v>
      </c>
      <c r="L323" s="743">
        <v>2017003630074</v>
      </c>
      <c r="M323" s="734" t="s">
        <v>84</v>
      </c>
      <c r="N323" s="731" t="s">
        <v>399</v>
      </c>
      <c r="O323" s="734" t="s">
        <v>400</v>
      </c>
      <c r="P323" s="673" t="s">
        <v>41</v>
      </c>
      <c r="Q323" s="346"/>
      <c r="R323" s="346"/>
      <c r="S323" s="346"/>
      <c r="T323" s="346"/>
      <c r="U323" s="346"/>
      <c r="V323" s="346"/>
      <c r="W323" s="346"/>
      <c r="X323" s="346"/>
      <c r="Y323" s="346"/>
      <c r="Z323" s="346"/>
      <c r="AA323" s="346"/>
      <c r="AB323" s="346"/>
      <c r="AC323" s="346"/>
      <c r="AD323" s="346"/>
      <c r="AE323" s="346"/>
      <c r="AF323" s="347">
        <f>34000000+10000000</f>
        <v>44000000</v>
      </c>
      <c r="AG323" s="347"/>
      <c r="AH323" s="346"/>
      <c r="AI323" s="348"/>
      <c r="AJ323" s="348"/>
      <c r="AK323" s="346">
        <f>Q323+R323+S323+T323+U323+V323+W323+X323+Y323+Z323+AA323+AB323+AC323+AD323+AE323+AF323+AG323+AH323+AI323+AJ323</f>
        <v>44000000</v>
      </c>
    </row>
    <row r="324" spans="1:37" ht="129.75" customHeight="1" x14ac:dyDescent="0.2">
      <c r="A324" s="16"/>
      <c r="B324" s="16"/>
      <c r="C324" s="663" t="s">
        <v>367</v>
      </c>
      <c r="D324" s="665" t="s">
        <v>368</v>
      </c>
      <c r="E324" s="673" t="s">
        <v>369</v>
      </c>
      <c r="F324" s="673" t="s">
        <v>370</v>
      </c>
      <c r="G324" s="65"/>
      <c r="H324" s="673">
        <v>36</v>
      </c>
      <c r="I324" s="665" t="s">
        <v>401</v>
      </c>
      <c r="J324" s="673">
        <v>0</v>
      </c>
      <c r="K324" s="80">
        <v>1</v>
      </c>
      <c r="L324" s="744"/>
      <c r="M324" s="735"/>
      <c r="N324" s="732"/>
      <c r="O324" s="735"/>
      <c r="P324" s="673" t="s">
        <v>54</v>
      </c>
      <c r="Q324" s="346">
        <v>0</v>
      </c>
      <c r="R324" s="346">
        <v>0</v>
      </c>
      <c r="S324" s="346">
        <v>0</v>
      </c>
      <c r="T324" s="346">
        <v>0</v>
      </c>
      <c r="U324" s="346">
        <v>0</v>
      </c>
      <c r="V324" s="346">
        <v>0</v>
      </c>
      <c r="W324" s="346">
        <v>0</v>
      </c>
      <c r="X324" s="346"/>
      <c r="Y324" s="346"/>
      <c r="Z324" s="346">
        <v>0</v>
      </c>
      <c r="AA324" s="346">
        <v>0</v>
      </c>
      <c r="AB324" s="346"/>
      <c r="AC324" s="346"/>
      <c r="AD324" s="346">
        <v>0</v>
      </c>
      <c r="AE324" s="346">
        <v>0</v>
      </c>
      <c r="AF324" s="347">
        <f>19000000+10000000</f>
        <v>29000000</v>
      </c>
      <c r="AG324" s="347"/>
      <c r="AH324" s="346">
        <v>0</v>
      </c>
      <c r="AI324" s="348"/>
      <c r="AJ324" s="348"/>
      <c r="AK324" s="346">
        <f>Q324+R324+S324+T324+U324+V324+W324+X324+Y324+Z324+AA324+AB324+AC324+AD324+AE324+AF324+AG324+AH324+AI324+AJ324</f>
        <v>29000000</v>
      </c>
    </row>
    <row r="325" spans="1:37" ht="129.75" customHeight="1" x14ac:dyDescent="0.2">
      <c r="A325" s="16"/>
      <c r="B325" s="16"/>
      <c r="C325" s="648" t="s">
        <v>367</v>
      </c>
      <c r="D325" s="642" t="s">
        <v>368</v>
      </c>
      <c r="E325" s="648" t="s">
        <v>369</v>
      </c>
      <c r="F325" s="648" t="s">
        <v>370</v>
      </c>
      <c r="G325" s="65"/>
      <c r="H325" s="673">
        <v>37</v>
      </c>
      <c r="I325" s="665" t="s">
        <v>402</v>
      </c>
      <c r="J325" s="673">
        <v>0</v>
      </c>
      <c r="K325" s="80">
        <v>1</v>
      </c>
      <c r="L325" s="745"/>
      <c r="M325" s="736"/>
      <c r="N325" s="733"/>
      <c r="O325" s="736"/>
      <c r="P325" s="673" t="s">
        <v>41</v>
      </c>
      <c r="Q325" s="346"/>
      <c r="R325" s="346"/>
      <c r="S325" s="346"/>
      <c r="T325" s="346"/>
      <c r="U325" s="346"/>
      <c r="V325" s="346"/>
      <c r="W325" s="346"/>
      <c r="X325" s="346"/>
      <c r="Y325" s="346"/>
      <c r="Z325" s="346"/>
      <c r="AA325" s="346"/>
      <c r="AB325" s="346"/>
      <c r="AC325" s="346"/>
      <c r="AD325" s="346"/>
      <c r="AE325" s="346"/>
      <c r="AF325" s="540">
        <f>15000000+37000000+10000000</f>
        <v>62000000</v>
      </c>
      <c r="AG325" s="346"/>
      <c r="AH325" s="346"/>
      <c r="AI325" s="348"/>
      <c r="AJ325" s="348"/>
      <c r="AK325" s="346">
        <f>Q325+R325+S325+T325+U325+V325+W325+X325+Y325+Z325+AA325+AB325+AC325+AD325+AE325+AF325+AG325+AH325+AI325+AJ325</f>
        <v>62000000</v>
      </c>
    </row>
    <row r="326" spans="1:37" ht="30" customHeight="1" x14ac:dyDescent="0.2">
      <c r="A326" s="16"/>
      <c r="B326" s="29"/>
      <c r="C326" s="649"/>
      <c r="D326" s="644"/>
      <c r="E326" s="649"/>
      <c r="F326" s="649"/>
      <c r="G326" s="30"/>
      <c r="H326" s="31"/>
      <c r="I326" s="30"/>
      <c r="J326" s="31"/>
      <c r="K326" s="217"/>
      <c r="L326" s="217"/>
      <c r="M326" s="30"/>
      <c r="N326" s="31"/>
      <c r="O326" s="30"/>
      <c r="P326" s="31"/>
      <c r="Q326" s="355">
        <f t="shared" ref="Q326:AJ326" si="76">SUM(Q323:Q325)</f>
        <v>0</v>
      </c>
      <c r="R326" s="355">
        <f t="shared" si="76"/>
        <v>0</v>
      </c>
      <c r="S326" s="355">
        <f t="shared" si="76"/>
        <v>0</v>
      </c>
      <c r="T326" s="355">
        <f t="shared" si="76"/>
        <v>0</v>
      </c>
      <c r="U326" s="355">
        <f t="shared" si="76"/>
        <v>0</v>
      </c>
      <c r="V326" s="355">
        <f t="shared" si="76"/>
        <v>0</v>
      </c>
      <c r="W326" s="355">
        <f t="shared" si="76"/>
        <v>0</v>
      </c>
      <c r="X326" s="355">
        <f t="shared" si="76"/>
        <v>0</v>
      </c>
      <c r="Y326" s="355">
        <f t="shared" si="76"/>
        <v>0</v>
      </c>
      <c r="Z326" s="355">
        <f t="shared" si="76"/>
        <v>0</v>
      </c>
      <c r="AA326" s="355">
        <f t="shared" si="76"/>
        <v>0</v>
      </c>
      <c r="AB326" s="355">
        <f t="shared" si="76"/>
        <v>0</v>
      </c>
      <c r="AC326" s="355">
        <f t="shared" si="76"/>
        <v>0</v>
      </c>
      <c r="AD326" s="355">
        <f t="shared" si="76"/>
        <v>0</v>
      </c>
      <c r="AE326" s="355">
        <f t="shared" si="76"/>
        <v>0</v>
      </c>
      <c r="AF326" s="355">
        <f t="shared" si="76"/>
        <v>135000000</v>
      </c>
      <c r="AG326" s="355">
        <f t="shared" si="76"/>
        <v>0</v>
      </c>
      <c r="AH326" s="355">
        <f t="shared" si="76"/>
        <v>0</v>
      </c>
      <c r="AI326" s="355">
        <f t="shared" si="76"/>
        <v>0</v>
      </c>
      <c r="AJ326" s="355">
        <f t="shared" si="76"/>
        <v>0</v>
      </c>
      <c r="AK326" s="355">
        <f>SUM(AK323:AK325)</f>
        <v>135000000</v>
      </c>
    </row>
    <row r="327" spans="1:37" ht="30" customHeight="1" x14ac:dyDescent="0.2">
      <c r="A327" s="16"/>
      <c r="B327" s="222"/>
      <c r="C327" s="72"/>
      <c r="D327" s="71"/>
      <c r="E327" s="72"/>
      <c r="F327" s="72" t="s">
        <v>403</v>
      </c>
      <c r="G327" s="71"/>
      <c r="H327" s="72"/>
      <c r="I327" s="71"/>
      <c r="J327" s="72"/>
      <c r="K327" s="223"/>
      <c r="L327" s="223"/>
      <c r="M327" s="71"/>
      <c r="N327" s="72"/>
      <c r="O327" s="71"/>
      <c r="P327" s="72"/>
      <c r="Q327" s="411">
        <f t="shared" ref="Q327:AK327" si="77">Q326+Q320+Q313+Q304</f>
        <v>0</v>
      </c>
      <c r="R327" s="411">
        <f t="shared" si="77"/>
        <v>0</v>
      </c>
      <c r="S327" s="411">
        <f t="shared" si="77"/>
        <v>0</v>
      </c>
      <c r="T327" s="411">
        <f t="shared" si="77"/>
        <v>0</v>
      </c>
      <c r="U327" s="411">
        <f t="shared" si="77"/>
        <v>0</v>
      </c>
      <c r="V327" s="411">
        <f t="shared" si="77"/>
        <v>0</v>
      </c>
      <c r="W327" s="411">
        <f t="shared" si="77"/>
        <v>0</v>
      </c>
      <c r="X327" s="411">
        <f t="shared" si="77"/>
        <v>0</v>
      </c>
      <c r="Y327" s="411">
        <f t="shared" si="77"/>
        <v>0</v>
      </c>
      <c r="Z327" s="411">
        <f t="shared" si="77"/>
        <v>0</v>
      </c>
      <c r="AA327" s="411">
        <f t="shared" si="77"/>
        <v>0</v>
      </c>
      <c r="AB327" s="411">
        <f t="shared" si="77"/>
        <v>0</v>
      </c>
      <c r="AC327" s="411">
        <f t="shared" si="77"/>
        <v>0</v>
      </c>
      <c r="AD327" s="411">
        <f t="shared" si="77"/>
        <v>0</v>
      </c>
      <c r="AE327" s="411">
        <f t="shared" si="77"/>
        <v>0</v>
      </c>
      <c r="AF327" s="411">
        <f t="shared" si="77"/>
        <v>1542000000</v>
      </c>
      <c r="AG327" s="411">
        <f t="shared" si="77"/>
        <v>0</v>
      </c>
      <c r="AH327" s="411">
        <f t="shared" si="77"/>
        <v>0</v>
      </c>
      <c r="AI327" s="411">
        <f t="shared" si="77"/>
        <v>0</v>
      </c>
      <c r="AJ327" s="411">
        <f t="shared" si="77"/>
        <v>0</v>
      </c>
      <c r="AK327" s="411">
        <f t="shared" si="77"/>
        <v>1542000000</v>
      </c>
    </row>
    <row r="328" spans="1:37" s="720" customFormat="1" ht="30" customHeight="1" x14ac:dyDescent="0.25">
      <c r="A328" s="718"/>
      <c r="B328" s="718"/>
      <c r="C328" s="719"/>
      <c r="D328" s="718"/>
      <c r="E328" s="719"/>
      <c r="F328" s="719"/>
      <c r="G328" s="718"/>
      <c r="H328" s="38"/>
      <c r="I328" s="37"/>
      <c r="J328" s="38"/>
      <c r="K328" s="218"/>
      <c r="L328" s="218"/>
      <c r="M328" s="37"/>
      <c r="N328" s="38"/>
      <c r="O328" s="37"/>
      <c r="P328" s="38"/>
      <c r="Q328" s="367">
        <f t="shared" ref="Q328:AK328" si="78">Q327</f>
        <v>0</v>
      </c>
      <c r="R328" s="367">
        <f t="shared" si="78"/>
        <v>0</v>
      </c>
      <c r="S328" s="367">
        <f t="shared" si="78"/>
        <v>0</v>
      </c>
      <c r="T328" s="367">
        <f t="shared" si="78"/>
        <v>0</v>
      </c>
      <c r="U328" s="367">
        <f t="shared" si="78"/>
        <v>0</v>
      </c>
      <c r="V328" s="367">
        <f t="shared" si="78"/>
        <v>0</v>
      </c>
      <c r="W328" s="367">
        <f t="shared" si="78"/>
        <v>0</v>
      </c>
      <c r="X328" s="367">
        <f t="shared" si="78"/>
        <v>0</v>
      </c>
      <c r="Y328" s="367">
        <f t="shared" si="78"/>
        <v>0</v>
      </c>
      <c r="Z328" s="367">
        <f t="shared" si="78"/>
        <v>0</v>
      </c>
      <c r="AA328" s="367">
        <f t="shared" si="78"/>
        <v>0</v>
      </c>
      <c r="AB328" s="367">
        <f t="shared" si="78"/>
        <v>0</v>
      </c>
      <c r="AC328" s="367">
        <f t="shared" si="78"/>
        <v>0</v>
      </c>
      <c r="AD328" s="367">
        <f t="shared" si="78"/>
        <v>0</v>
      </c>
      <c r="AE328" s="367">
        <f t="shared" si="78"/>
        <v>0</v>
      </c>
      <c r="AF328" s="367">
        <f t="shared" si="78"/>
        <v>1542000000</v>
      </c>
      <c r="AG328" s="367">
        <f t="shared" si="78"/>
        <v>0</v>
      </c>
      <c r="AH328" s="367">
        <f t="shared" si="78"/>
        <v>0</v>
      </c>
      <c r="AI328" s="367">
        <f t="shared" si="78"/>
        <v>0</v>
      </c>
      <c r="AJ328" s="367">
        <f t="shared" si="78"/>
        <v>0</v>
      </c>
      <c r="AK328" s="367">
        <f t="shared" si="78"/>
        <v>1542000000</v>
      </c>
    </row>
    <row r="329" spans="1:37" s="557" customFormat="1" ht="30" customHeight="1" x14ac:dyDescent="0.25">
      <c r="A329" s="670"/>
      <c r="B329" s="243"/>
      <c r="C329" s="155"/>
      <c r="D329" s="243"/>
      <c r="E329" s="155"/>
      <c r="F329" s="155"/>
      <c r="G329" s="243"/>
      <c r="H329" s="155"/>
      <c r="I329" s="243"/>
      <c r="J329" s="155"/>
      <c r="K329" s="717"/>
      <c r="L329" s="717"/>
      <c r="M329" s="243"/>
      <c r="N329" s="680"/>
      <c r="O329" s="612"/>
      <c r="P329" s="155"/>
      <c r="Q329" s="385"/>
      <c r="R329" s="432"/>
      <c r="S329" s="385"/>
      <c r="T329" s="385"/>
      <c r="U329" s="385"/>
      <c r="V329" s="385"/>
      <c r="W329" s="385"/>
      <c r="X329" s="385"/>
      <c r="Y329" s="385"/>
      <c r="Z329" s="385"/>
      <c r="AA329" s="385"/>
      <c r="AB329" s="385"/>
      <c r="AC329" s="385"/>
      <c r="AD329" s="385"/>
      <c r="AE329" s="385"/>
      <c r="AF329" s="386"/>
      <c r="AG329" s="385"/>
      <c r="AH329" s="385"/>
      <c r="AI329" s="385"/>
      <c r="AJ329" s="432"/>
      <c r="AK329" s="385"/>
    </row>
    <row r="330" spans="1:37" s="557" customFormat="1" ht="30" customHeight="1" x14ac:dyDescent="0.25">
      <c r="A330" s="679">
        <v>3</v>
      </c>
      <c r="B330" s="7" t="s">
        <v>404</v>
      </c>
      <c r="C330" s="8"/>
      <c r="D330" s="7"/>
      <c r="E330" s="7"/>
      <c r="F330" s="7"/>
      <c r="G330" s="7"/>
      <c r="H330" s="8"/>
      <c r="I330" s="7"/>
      <c r="J330" s="7"/>
      <c r="K330" s="100"/>
      <c r="L330" s="100"/>
      <c r="M330" s="578"/>
      <c r="N330" s="8"/>
      <c r="O330" s="7"/>
      <c r="P330" s="7"/>
      <c r="Q330" s="376"/>
      <c r="R330" s="376"/>
      <c r="S330" s="376"/>
      <c r="T330" s="376"/>
      <c r="U330" s="376"/>
      <c r="V330" s="376"/>
      <c r="W330" s="376"/>
      <c r="X330" s="376"/>
      <c r="Y330" s="376"/>
      <c r="Z330" s="376"/>
      <c r="AA330" s="376"/>
      <c r="AB330" s="376"/>
      <c r="AC330" s="376"/>
      <c r="AD330" s="376"/>
      <c r="AE330" s="376"/>
      <c r="AF330" s="377"/>
      <c r="AG330" s="376"/>
      <c r="AH330" s="376"/>
      <c r="AI330" s="376"/>
      <c r="AJ330" s="376"/>
      <c r="AK330" s="378"/>
    </row>
    <row r="331" spans="1:37" s="557" customFormat="1" ht="30" customHeight="1" x14ac:dyDescent="0.25">
      <c r="A331" s="48"/>
      <c r="B331" s="93">
        <v>11</v>
      </c>
      <c r="C331" s="13" t="s">
        <v>405</v>
      </c>
      <c r="D331" s="12"/>
      <c r="E331" s="12"/>
      <c r="F331" s="12"/>
      <c r="G331" s="12"/>
      <c r="H331" s="13"/>
      <c r="I331" s="12"/>
      <c r="J331" s="12"/>
      <c r="K331" s="63"/>
      <c r="L331" s="63"/>
      <c r="M331" s="579"/>
      <c r="N331" s="13"/>
      <c r="O331" s="12"/>
      <c r="P331" s="12"/>
      <c r="Q331" s="357"/>
      <c r="R331" s="357"/>
      <c r="S331" s="357"/>
      <c r="T331" s="357"/>
      <c r="U331" s="357"/>
      <c r="V331" s="357"/>
      <c r="W331" s="357"/>
      <c r="X331" s="357"/>
      <c r="Y331" s="357"/>
      <c r="Z331" s="357"/>
      <c r="AA331" s="357"/>
      <c r="AB331" s="357"/>
      <c r="AC331" s="357"/>
      <c r="AD331" s="357"/>
      <c r="AE331" s="357"/>
      <c r="AF331" s="358"/>
      <c r="AG331" s="357"/>
      <c r="AH331" s="357"/>
      <c r="AI331" s="357"/>
      <c r="AJ331" s="357"/>
      <c r="AK331" s="362"/>
    </row>
    <row r="332" spans="1:37" s="557" customFormat="1" ht="30" customHeight="1" x14ac:dyDescent="0.25">
      <c r="A332" s="16"/>
      <c r="B332" s="125"/>
      <c r="C332" s="648"/>
      <c r="D332" s="642"/>
      <c r="E332" s="648"/>
      <c r="F332" s="648"/>
      <c r="G332" s="181">
        <v>34</v>
      </c>
      <c r="H332" s="51" t="s">
        <v>406</v>
      </c>
      <c r="I332" s="52"/>
      <c r="J332" s="52"/>
      <c r="K332" s="64"/>
      <c r="L332" s="64"/>
      <c r="M332" s="581"/>
      <c r="N332" s="136"/>
      <c r="O332" s="52"/>
      <c r="P332" s="52"/>
      <c r="Q332" s="231"/>
      <c r="R332" s="231"/>
      <c r="S332" s="231"/>
      <c r="T332" s="231"/>
      <c r="U332" s="231"/>
      <c r="V332" s="231"/>
      <c r="W332" s="231"/>
      <c r="X332" s="231"/>
      <c r="Y332" s="231"/>
      <c r="Z332" s="231"/>
      <c r="AA332" s="231"/>
      <c r="AB332" s="231"/>
      <c r="AC332" s="231"/>
      <c r="AD332" s="231"/>
      <c r="AE332" s="231"/>
      <c r="AF332" s="359"/>
      <c r="AG332" s="231"/>
      <c r="AH332" s="231"/>
      <c r="AI332" s="231"/>
      <c r="AJ332" s="231"/>
      <c r="AK332" s="233"/>
    </row>
    <row r="333" spans="1:37" ht="54.75" customHeight="1" x14ac:dyDescent="0.2">
      <c r="A333" s="16"/>
      <c r="B333" s="167"/>
      <c r="C333" s="649">
        <v>23</v>
      </c>
      <c r="D333" s="644" t="s">
        <v>407</v>
      </c>
      <c r="E333" s="650">
        <v>0.92</v>
      </c>
      <c r="F333" s="650">
        <v>0.85</v>
      </c>
      <c r="G333" s="17"/>
      <c r="H333" s="673">
        <v>122</v>
      </c>
      <c r="I333" s="665" t="s">
        <v>408</v>
      </c>
      <c r="J333" s="673">
        <v>0</v>
      </c>
      <c r="K333" s="80">
        <v>1</v>
      </c>
      <c r="L333" s="743">
        <v>2017003630071</v>
      </c>
      <c r="M333" s="734" t="s">
        <v>409</v>
      </c>
      <c r="N333" s="731" t="s">
        <v>410</v>
      </c>
      <c r="O333" s="734" t="s">
        <v>887</v>
      </c>
      <c r="P333" s="105" t="s">
        <v>41</v>
      </c>
      <c r="Q333" s="346">
        <v>0</v>
      </c>
      <c r="R333" s="346">
        <v>0</v>
      </c>
      <c r="S333" s="346">
        <v>0</v>
      </c>
      <c r="T333" s="346">
        <v>0</v>
      </c>
      <c r="U333" s="346">
        <v>0</v>
      </c>
      <c r="V333" s="346">
        <v>0</v>
      </c>
      <c r="W333" s="346">
        <v>0</v>
      </c>
      <c r="X333" s="346"/>
      <c r="Y333" s="346"/>
      <c r="Z333" s="346">
        <v>0</v>
      </c>
      <c r="AA333" s="346">
        <v>0</v>
      </c>
      <c r="AB333" s="346"/>
      <c r="AC333" s="346"/>
      <c r="AD333" s="346">
        <v>0</v>
      </c>
      <c r="AE333" s="346">
        <v>0</v>
      </c>
      <c r="AF333" s="547">
        <f>6000000+20174667+70000000+90000000</f>
        <v>186174667</v>
      </c>
      <c r="AG333" s="347"/>
      <c r="AH333" s="346">
        <v>0</v>
      </c>
      <c r="AI333" s="348"/>
      <c r="AJ333" s="348"/>
      <c r="AK333" s="346">
        <f>Q333+R333+S333+T333+U333+V333+W333+X333+Y333+Z333+AA333+AB333+AC333+AD333+AE333+AF333+AG333+AH333+AI333+AJ333</f>
        <v>186174667</v>
      </c>
    </row>
    <row r="334" spans="1:37" ht="66.75" customHeight="1" x14ac:dyDescent="0.2">
      <c r="A334" s="16"/>
      <c r="B334" s="167"/>
      <c r="C334" s="673"/>
      <c r="D334" s="665"/>
      <c r="E334" s="220"/>
      <c r="F334" s="220"/>
      <c r="G334" s="23"/>
      <c r="H334" s="673">
        <v>123</v>
      </c>
      <c r="I334" s="665" t="s">
        <v>411</v>
      </c>
      <c r="J334" s="673" t="s">
        <v>32</v>
      </c>
      <c r="K334" s="80">
        <v>4</v>
      </c>
      <c r="L334" s="744"/>
      <c r="M334" s="735"/>
      <c r="N334" s="732"/>
      <c r="O334" s="735"/>
      <c r="P334" s="105" t="s">
        <v>41</v>
      </c>
      <c r="Q334" s="382"/>
      <c r="R334" s="382"/>
      <c r="S334" s="382"/>
      <c r="T334" s="382"/>
      <c r="U334" s="382"/>
      <c r="V334" s="382"/>
      <c r="W334" s="382"/>
      <c r="X334" s="382"/>
      <c r="Y334" s="382"/>
      <c r="Z334" s="382"/>
      <c r="AA334" s="382"/>
      <c r="AB334" s="382"/>
      <c r="AC334" s="382"/>
      <c r="AD334" s="382"/>
      <c r="AE334" s="382"/>
      <c r="AF334" s="349">
        <v>12000000</v>
      </c>
      <c r="AG334" s="410"/>
      <c r="AH334" s="382"/>
      <c r="AI334" s="409"/>
      <c r="AJ334" s="409"/>
      <c r="AK334" s="346">
        <f>Q334+R334+S334+T334+U334+V334+W334+X334+Y334+Z334+AA334+AB334+AC334+AD334+AE334+AF334+AG334+AH334+AI334+AJ334</f>
        <v>12000000</v>
      </c>
    </row>
    <row r="335" spans="1:37" ht="54.75" customHeight="1" x14ac:dyDescent="0.2">
      <c r="A335" s="16"/>
      <c r="B335" s="167"/>
      <c r="C335" s="673"/>
      <c r="D335" s="665"/>
      <c r="E335" s="220"/>
      <c r="F335" s="220"/>
      <c r="G335" s="23"/>
      <c r="H335" s="673">
        <v>124</v>
      </c>
      <c r="I335" s="665" t="s">
        <v>412</v>
      </c>
      <c r="J335" s="673">
        <v>40</v>
      </c>
      <c r="K335" s="80">
        <v>200</v>
      </c>
      <c r="L335" s="744"/>
      <c r="M335" s="735"/>
      <c r="N335" s="732"/>
      <c r="O335" s="735"/>
      <c r="P335" s="105" t="s">
        <v>54</v>
      </c>
      <c r="Q335" s="382"/>
      <c r="R335" s="382"/>
      <c r="S335" s="382"/>
      <c r="T335" s="382"/>
      <c r="U335" s="382"/>
      <c r="V335" s="382"/>
      <c r="W335" s="382"/>
      <c r="X335" s="382"/>
      <c r="Y335" s="382"/>
      <c r="Z335" s="382"/>
      <c r="AA335" s="382"/>
      <c r="AB335" s="382"/>
      <c r="AC335" s="382"/>
      <c r="AD335" s="382"/>
      <c r="AE335" s="382"/>
      <c r="AF335" s="349">
        <f>12000000+16000000+30000000</f>
        <v>58000000</v>
      </c>
      <c r="AG335" s="410"/>
      <c r="AH335" s="382"/>
      <c r="AI335" s="409"/>
      <c r="AJ335" s="409"/>
      <c r="AK335" s="346">
        <f>Q335+R335+S335+T335+U335+V335+W335+X335+Y335+Z335+AA335+AB335+AC335+AD335+AE335+AF335+AG335+AH335+AI335+AJ335</f>
        <v>58000000</v>
      </c>
    </row>
    <row r="336" spans="1:37" ht="66.75" customHeight="1" x14ac:dyDescent="0.2">
      <c r="A336" s="16"/>
      <c r="B336" s="167"/>
      <c r="C336" s="673"/>
      <c r="D336" s="665"/>
      <c r="E336" s="220"/>
      <c r="F336" s="220"/>
      <c r="G336" s="23"/>
      <c r="H336" s="673">
        <v>126</v>
      </c>
      <c r="I336" s="665" t="s">
        <v>413</v>
      </c>
      <c r="J336" s="673" t="s">
        <v>32</v>
      </c>
      <c r="K336" s="80">
        <f>1795+1531</f>
        <v>3326</v>
      </c>
      <c r="L336" s="744"/>
      <c r="M336" s="735"/>
      <c r="N336" s="732"/>
      <c r="O336" s="735"/>
      <c r="P336" s="105" t="s">
        <v>41</v>
      </c>
      <c r="Q336" s="382"/>
      <c r="R336" s="382"/>
      <c r="S336" s="382"/>
      <c r="T336" s="382"/>
      <c r="U336" s="382"/>
      <c r="V336" s="382"/>
      <c r="W336" s="382"/>
      <c r="X336" s="382"/>
      <c r="Y336" s="382"/>
      <c r="Z336" s="382"/>
      <c r="AA336" s="382"/>
      <c r="AB336" s="382"/>
      <c r="AC336" s="382"/>
      <c r="AD336" s="382"/>
      <c r="AE336" s="382"/>
      <c r="AF336" s="347">
        <v>6000000</v>
      </c>
      <c r="AG336" s="410"/>
      <c r="AH336" s="382"/>
      <c r="AI336" s="409"/>
      <c r="AJ336" s="409"/>
      <c r="AK336" s="346">
        <f>Q336+R336+S336+T336+U336+V336+W336+X336+Y336+Z336+AA336+AB336+AC336+AD336+AE336+AF336+AG336+AH336+AI336+AJ336</f>
        <v>6000000</v>
      </c>
    </row>
    <row r="337" spans="1:37" ht="66.75" customHeight="1" x14ac:dyDescent="0.2">
      <c r="A337" s="16"/>
      <c r="B337" s="167"/>
      <c r="C337" s="648">
        <v>23</v>
      </c>
      <c r="D337" s="642" t="s">
        <v>407</v>
      </c>
      <c r="E337" s="667">
        <v>0.92</v>
      </c>
      <c r="F337" s="667">
        <v>0.85</v>
      </c>
      <c r="G337" s="65"/>
      <c r="H337" s="673">
        <v>125</v>
      </c>
      <c r="I337" s="665" t="s">
        <v>414</v>
      </c>
      <c r="J337" s="18">
        <v>1200</v>
      </c>
      <c r="K337" s="19">
        <v>761</v>
      </c>
      <c r="L337" s="745"/>
      <c r="M337" s="736"/>
      <c r="N337" s="733"/>
      <c r="O337" s="736"/>
      <c r="P337" s="648" t="s">
        <v>54</v>
      </c>
      <c r="Q337" s="382"/>
      <c r="R337" s="382"/>
      <c r="S337" s="382"/>
      <c r="T337" s="382"/>
      <c r="U337" s="382"/>
      <c r="V337" s="382"/>
      <c r="W337" s="382"/>
      <c r="X337" s="382"/>
      <c r="Y337" s="382"/>
      <c r="Z337" s="382"/>
      <c r="AA337" s="382"/>
      <c r="AB337" s="382"/>
      <c r="AC337" s="382"/>
      <c r="AD337" s="382"/>
      <c r="AE337" s="382"/>
      <c r="AF337" s="349">
        <f>10825324+17000000+9</f>
        <v>27825333</v>
      </c>
      <c r="AG337" s="383"/>
      <c r="AH337" s="382"/>
      <c r="AI337" s="409"/>
      <c r="AJ337" s="409"/>
      <c r="AK337" s="346">
        <f>Q337+R337+S337+T337+U337+V337+W337+X337+Y337+Z337+AA337+AB337+AC337+AD337+AE337+AF337+AG337+AH337+AI337+AJ337</f>
        <v>27825333</v>
      </c>
    </row>
    <row r="338" spans="1:37" ht="30" customHeight="1" x14ac:dyDescent="0.2">
      <c r="A338" s="16"/>
      <c r="B338" s="169"/>
      <c r="C338" s="649"/>
      <c r="D338" s="644"/>
      <c r="E338" s="649"/>
      <c r="F338" s="649"/>
      <c r="G338" s="66"/>
      <c r="H338" s="67"/>
      <c r="I338" s="66"/>
      <c r="J338" s="67"/>
      <c r="K338" s="221"/>
      <c r="L338" s="221"/>
      <c r="M338" s="66"/>
      <c r="N338" s="67"/>
      <c r="O338" s="66"/>
      <c r="P338" s="67"/>
      <c r="Q338" s="393">
        <f t="shared" ref="Q338:AJ338" si="79">SUM(Q333:Q337)</f>
        <v>0</v>
      </c>
      <c r="R338" s="393">
        <f t="shared" si="79"/>
        <v>0</v>
      </c>
      <c r="S338" s="393">
        <f t="shared" si="79"/>
        <v>0</v>
      </c>
      <c r="T338" s="393">
        <f t="shared" si="79"/>
        <v>0</v>
      </c>
      <c r="U338" s="393">
        <f t="shared" si="79"/>
        <v>0</v>
      </c>
      <c r="V338" s="393">
        <f t="shared" si="79"/>
        <v>0</v>
      </c>
      <c r="W338" s="393">
        <f t="shared" si="79"/>
        <v>0</v>
      </c>
      <c r="X338" s="393">
        <f t="shared" si="79"/>
        <v>0</v>
      </c>
      <c r="Y338" s="393">
        <f t="shared" si="79"/>
        <v>0</v>
      </c>
      <c r="Z338" s="393">
        <f t="shared" si="79"/>
        <v>0</v>
      </c>
      <c r="AA338" s="393">
        <f t="shared" si="79"/>
        <v>0</v>
      </c>
      <c r="AB338" s="393">
        <f t="shared" si="79"/>
        <v>0</v>
      </c>
      <c r="AC338" s="393">
        <f t="shared" si="79"/>
        <v>0</v>
      </c>
      <c r="AD338" s="393">
        <f t="shared" si="79"/>
        <v>0</v>
      </c>
      <c r="AE338" s="393">
        <f t="shared" si="79"/>
        <v>0</v>
      </c>
      <c r="AF338" s="393">
        <f t="shared" si="79"/>
        <v>290000000</v>
      </c>
      <c r="AG338" s="393">
        <f t="shared" si="79"/>
        <v>0</v>
      </c>
      <c r="AH338" s="393">
        <f t="shared" si="79"/>
        <v>0</v>
      </c>
      <c r="AI338" s="393">
        <f t="shared" si="79"/>
        <v>0</v>
      </c>
      <c r="AJ338" s="393">
        <f t="shared" si="79"/>
        <v>0</v>
      </c>
      <c r="AK338" s="393">
        <f>SUM(AK333:AK337)</f>
        <v>290000000</v>
      </c>
    </row>
    <row r="339" spans="1:37" ht="30" customHeight="1" x14ac:dyDescent="0.2">
      <c r="A339" s="29"/>
      <c r="B339" s="222"/>
      <c r="C339" s="72"/>
      <c r="D339" s="71"/>
      <c r="E339" s="72"/>
      <c r="F339" s="72"/>
      <c r="G339" s="71"/>
      <c r="H339" s="72"/>
      <c r="I339" s="71"/>
      <c r="J339" s="72"/>
      <c r="K339" s="223"/>
      <c r="L339" s="223"/>
      <c r="M339" s="71"/>
      <c r="N339" s="72"/>
      <c r="O339" s="71"/>
      <c r="P339" s="72"/>
      <c r="Q339" s="411">
        <f t="shared" ref="Q339:AK340" si="80">Q338</f>
        <v>0</v>
      </c>
      <c r="R339" s="411">
        <f t="shared" si="80"/>
        <v>0</v>
      </c>
      <c r="S339" s="411">
        <f t="shared" si="80"/>
        <v>0</v>
      </c>
      <c r="T339" s="411">
        <f t="shared" si="80"/>
        <v>0</v>
      </c>
      <c r="U339" s="411">
        <f t="shared" si="80"/>
        <v>0</v>
      </c>
      <c r="V339" s="411">
        <f t="shared" si="80"/>
        <v>0</v>
      </c>
      <c r="W339" s="411">
        <f t="shared" si="80"/>
        <v>0</v>
      </c>
      <c r="X339" s="411">
        <f t="shared" si="80"/>
        <v>0</v>
      </c>
      <c r="Y339" s="411">
        <f t="shared" si="80"/>
        <v>0</v>
      </c>
      <c r="Z339" s="411">
        <f t="shared" si="80"/>
        <v>0</v>
      </c>
      <c r="AA339" s="411">
        <f t="shared" si="80"/>
        <v>0</v>
      </c>
      <c r="AB339" s="411">
        <f t="shared" si="80"/>
        <v>0</v>
      </c>
      <c r="AC339" s="411">
        <f t="shared" si="80"/>
        <v>0</v>
      </c>
      <c r="AD339" s="411">
        <f t="shared" si="80"/>
        <v>0</v>
      </c>
      <c r="AE339" s="411">
        <f t="shared" si="80"/>
        <v>0</v>
      </c>
      <c r="AF339" s="411">
        <f t="shared" si="80"/>
        <v>290000000</v>
      </c>
      <c r="AG339" s="411">
        <f t="shared" si="80"/>
        <v>0</v>
      </c>
      <c r="AH339" s="411">
        <f t="shared" si="80"/>
        <v>0</v>
      </c>
      <c r="AI339" s="411">
        <f t="shared" si="80"/>
        <v>0</v>
      </c>
      <c r="AJ339" s="411">
        <f t="shared" si="80"/>
        <v>0</v>
      </c>
      <c r="AK339" s="411">
        <f t="shared" si="80"/>
        <v>290000000</v>
      </c>
    </row>
    <row r="340" spans="1:37" ht="30" customHeight="1" x14ac:dyDescent="0.2">
      <c r="A340" s="147"/>
      <c r="B340" s="147"/>
      <c r="C340" s="148"/>
      <c r="D340" s="147"/>
      <c r="E340" s="148"/>
      <c r="F340" s="148"/>
      <c r="G340" s="147"/>
      <c r="H340" s="148"/>
      <c r="I340" s="147"/>
      <c r="J340" s="148"/>
      <c r="K340" s="224"/>
      <c r="L340" s="224"/>
      <c r="M340" s="147"/>
      <c r="N340" s="148"/>
      <c r="O340" s="147"/>
      <c r="P340" s="148"/>
      <c r="Q340" s="412">
        <f t="shared" si="80"/>
        <v>0</v>
      </c>
      <c r="R340" s="412">
        <f t="shared" si="80"/>
        <v>0</v>
      </c>
      <c r="S340" s="412">
        <f t="shared" si="80"/>
        <v>0</v>
      </c>
      <c r="T340" s="412">
        <f t="shared" si="80"/>
        <v>0</v>
      </c>
      <c r="U340" s="412">
        <f t="shared" si="80"/>
        <v>0</v>
      </c>
      <c r="V340" s="412">
        <f t="shared" si="80"/>
        <v>0</v>
      </c>
      <c r="W340" s="412">
        <f t="shared" si="80"/>
        <v>0</v>
      </c>
      <c r="X340" s="412">
        <f t="shared" si="80"/>
        <v>0</v>
      </c>
      <c r="Y340" s="412">
        <f t="shared" si="80"/>
        <v>0</v>
      </c>
      <c r="Z340" s="412">
        <f t="shared" si="80"/>
        <v>0</v>
      </c>
      <c r="AA340" s="412">
        <f t="shared" si="80"/>
        <v>0</v>
      </c>
      <c r="AB340" s="412">
        <f t="shared" si="80"/>
        <v>0</v>
      </c>
      <c r="AC340" s="412">
        <f t="shared" si="80"/>
        <v>0</v>
      </c>
      <c r="AD340" s="412">
        <f t="shared" si="80"/>
        <v>0</v>
      </c>
      <c r="AE340" s="412">
        <f t="shared" si="80"/>
        <v>0</v>
      </c>
      <c r="AF340" s="412">
        <f t="shared" si="80"/>
        <v>290000000</v>
      </c>
      <c r="AG340" s="412">
        <f t="shared" si="80"/>
        <v>0</v>
      </c>
      <c r="AH340" s="412">
        <f t="shared" si="80"/>
        <v>0</v>
      </c>
      <c r="AI340" s="412">
        <f t="shared" si="80"/>
        <v>0</v>
      </c>
      <c r="AJ340" s="412">
        <f t="shared" si="80"/>
        <v>0</v>
      </c>
      <c r="AK340" s="412">
        <f t="shared" si="80"/>
        <v>290000000</v>
      </c>
    </row>
    <row r="341" spans="1:37" ht="30" customHeight="1" x14ac:dyDescent="0.2">
      <c r="A341" s="40"/>
      <c r="B341" s="40"/>
      <c r="C341" s="41"/>
      <c r="D341" s="40"/>
      <c r="E341" s="41"/>
      <c r="F341" s="41"/>
      <c r="G341" s="40"/>
      <c r="H341" s="41"/>
      <c r="I341" s="40"/>
      <c r="J341" s="42"/>
      <c r="K341" s="98"/>
      <c r="L341" s="98"/>
      <c r="M341" s="285"/>
      <c r="N341" s="41"/>
      <c r="O341" s="40"/>
      <c r="P341" s="41"/>
      <c r="Q341" s="368">
        <f t="shared" ref="Q341:AJ341" si="81">+Q340+Q328+Q295</f>
        <v>0</v>
      </c>
      <c r="R341" s="368">
        <f t="shared" si="81"/>
        <v>0</v>
      </c>
      <c r="S341" s="368">
        <f t="shared" si="81"/>
        <v>0</v>
      </c>
      <c r="T341" s="368">
        <f t="shared" si="81"/>
        <v>0</v>
      </c>
      <c r="U341" s="368">
        <f t="shared" si="81"/>
        <v>0</v>
      </c>
      <c r="V341" s="368">
        <f t="shared" si="81"/>
        <v>0</v>
      </c>
      <c r="W341" s="368">
        <f t="shared" si="81"/>
        <v>0</v>
      </c>
      <c r="X341" s="368">
        <f t="shared" si="81"/>
        <v>0</v>
      </c>
      <c r="Y341" s="368">
        <f t="shared" si="81"/>
        <v>0</v>
      </c>
      <c r="Z341" s="368">
        <f t="shared" si="81"/>
        <v>0</v>
      </c>
      <c r="AA341" s="368">
        <f t="shared" si="81"/>
        <v>0</v>
      </c>
      <c r="AB341" s="368">
        <f t="shared" si="81"/>
        <v>0</v>
      </c>
      <c r="AC341" s="368">
        <f t="shared" si="81"/>
        <v>0</v>
      </c>
      <c r="AD341" s="368">
        <f t="shared" si="81"/>
        <v>0</v>
      </c>
      <c r="AE341" s="368">
        <f t="shared" si="81"/>
        <v>0</v>
      </c>
      <c r="AF341" s="368">
        <f t="shared" si="81"/>
        <v>3467762444</v>
      </c>
      <c r="AG341" s="368">
        <f t="shared" si="81"/>
        <v>0</v>
      </c>
      <c r="AH341" s="368">
        <f t="shared" si="81"/>
        <v>0</v>
      </c>
      <c r="AI341" s="368">
        <f t="shared" si="81"/>
        <v>0</v>
      </c>
      <c r="AJ341" s="368">
        <f t="shared" si="81"/>
        <v>0</v>
      </c>
      <c r="AK341" s="368">
        <f>+AK340+AK328+AK295</f>
        <v>3467762444</v>
      </c>
    </row>
    <row r="342" spans="1:37" ht="30" customHeight="1" x14ac:dyDescent="0.2">
      <c r="A342" s="43"/>
      <c r="B342" s="44"/>
      <c r="C342" s="116"/>
      <c r="D342" s="44"/>
      <c r="E342" s="116"/>
      <c r="F342" s="116"/>
      <c r="G342" s="44"/>
      <c r="H342" s="116"/>
      <c r="I342" s="44"/>
      <c r="J342" s="45"/>
      <c r="K342" s="55"/>
      <c r="L342" s="55"/>
      <c r="M342" s="62"/>
      <c r="N342" s="116"/>
      <c r="O342" s="44"/>
      <c r="P342" s="116"/>
      <c r="Q342" s="350"/>
      <c r="R342" s="351"/>
      <c r="S342" s="350"/>
      <c r="T342" s="350"/>
      <c r="U342" s="350"/>
      <c r="V342" s="350"/>
      <c r="W342" s="350"/>
      <c r="X342" s="350"/>
      <c r="Y342" s="350"/>
      <c r="Z342" s="350"/>
      <c r="AA342" s="350"/>
      <c r="AB342" s="350"/>
      <c r="AC342" s="350"/>
      <c r="AD342" s="350"/>
      <c r="AE342" s="350"/>
      <c r="AF342" s="352" t="s">
        <v>56</v>
      </c>
      <c r="AG342" s="350"/>
      <c r="AH342" s="350"/>
      <c r="AI342" s="350"/>
      <c r="AJ342" s="350"/>
      <c r="AK342" s="350" t="s">
        <v>56</v>
      </c>
    </row>
    <row r="343" spans="1:37" ht="30" customHeight="1" x14ac:dyDescent="0.2">
      <c r="A343" s="4" t="s">
        <v>415</v>
      </c>
      <c r="B343" s="5"/>
      <c r="C343" s="6"/>
      <c r="D343" s="5"/>
      <c r="E343" s="5"/>
      <c r="F343" s="5"/>
      <c r="G343" s="5"/>
      <c r="H343" s="6"/>
      <c r="I343" s="5"/>
      <c r="J343" s="5"/>
      <c r="K343" s="99"/>
      <c r="L343" s="99"/>
      <c r="M343" s="577"/>
      <c r="N343" s="6"/>
      <c r="O343" s="5"/>
      <c r="P343" s="6"/>
      <c r="Q343" s="413"/>
      <c r="R343" s="413"/>
      <c r="S343" s="413"/>
      <c r="T343" s="413"/>
      <c r="U343" s="413"/>
      <c r="V343" s="413"/>
      <c r="W343" s="413"/>
      <c r="X343" s="413"/>
      <c r="Y343" s="413"/>
      <c r="Z343" s="413"/>
      <c r="AA343" s="413"/>
      <c r="AB343" s="413"/>
      <c r="AC343" s="413"/>
      <c r="AD343" s="413"/>
      <c r="AE343" s="413"/>
      <c r="AF343" s="414"/>
      <c r="AG343" s="415"/>
      <c r="AH343" s="413"/>
      <c r="AI343" s="413"/>
      <c r="AJ343" s="413"/>
      <c r="AK343" s="416" t="s">
        <v>56</v>
      </c>
    </row>
    <row r="344" spans="1:37" ht="30" customHeight="1" x14ac:dyDescent="0.2">
      <c r="A344" s="679">
        <v>5</v>
      </c>
      <c r="B344" s="7" t="s">
        <v>26</v>
      </c>
      <c r="C344" s="8"/>
      <c r="D344" s="7"/>
      <c r="E344" s="7"/>
      <c r="F344" s="7"/>
      <c r="G344" s="7"/>
      <c r="H344" s="8"/>
      <c r="I344" s="7"/>
      <c r="J344" s="7"/>
      <c r="K344" s="100"/>
      <c r="L344" s="100"/>
      <c r="M344" s="578"/>
      <c r="N344" s="8"/>
      <c r="O344" s="7"/>
      <c r="P344" s="7"/>
      <c r="Q344" s="376"/>
      <c r="R344" s="376"/>
      <c r="S344" s="376"/>
      <c r="T344" s="376"/>
      <c r="U344" s="376"/>
      <c r="V344" s="376"/>
      <c r="W344" s="376"/>
      <c r="X344" s="376"/>
      <c r="Y344" s="376"/>
      <c r="Z344" s="376"/>
      <c r="AA344" s="376"/>
      <c r="AB344" s="376"/>
      <c r="AC344" s="376"/>
      <c r="AD344" s="376"/>
      <c r="AE344" s="376"/>
      <c r="AF344" s="377"/>
      <c r="AG344" s="376"/>
      <c r="AH344" s="376"/>
      <c r="AI344" s="376"/>
      <c r="AJ344" s="376"/>
      <c r="AK344" s="378"/>
    </row>
    <row r="345" spans="1:37" s="557" customFormat="1" ht="30" customHeight="1" x14ac:dyDescent="0.25">
      <c r="A345" s="48"/>
      <c r="B345" s="93">
        <v>26</v>
      </c>
      <c r="C345" s="13" t="s">
        <v>57</v>
      </c>
      <c r="D345" s="12"/>
      <c r="E345" s="12"/>
      <c r="F345" s="12"/>
      <c r="G345" s="12"/>
      <c r="H345" s="13"/>
      <c r="I345" s="12"/>
      <c r="J345" s="12"/>
      <c r="K345" s="63"/>
      <c r="L345" s="63"/>
      <c r="M345" s="579"/>
      <c r="N345" s="13"/>
      <c r="O345" s="12"/>
      <c r="P345" s="12"/>
      <c r="Q345" s="357"/>
      <c r="R345" s="357"/>
      <c r="S345" s="357"/>
      <c r="T345" s="357"/>
      <c r="U345" s="357"/>
      <c r="V345" s="357"/>
      <c r="W345" s="357"/>
      <c r="X345" s="357"/>
      <c r="Y345" s="357"/>
      <c r="Z345" s="357"/>
      <c r="AA345" s="357"/>
      <c r="AB345" s="357"/>
      <c r="AC345" s="357"/>
      <c r="AD345" s="357"/>
      <c r="AE345" s="357"/>
      <c r="AF345" s="358"/>
      <c r="AG345" s="357"/>
      <c r="AH345" s="357"/>
      <c r="AI345" s="357"/>
      <c r="AJ345" s="357"/>
      <c r="AK345" s="362"/>
    </row>
    <row r="346" spans="1:37" s="557" customFormat="1" ht="30" customHeight="1" x14ac:dyDescent="0.25">
      <c r="A346" s="16"/>
      <c r="B346" s="48"/>
      <c r="C346" s="648"/>
      <c r="D346" s="642"/>
      <c r="E346" s="648"/>
      <c r="F346" s="648"/>
      <c r="G346" s="181">
        <v>83</v>
      </c>
      <c r="H346" s="52" t="s">
        <v>58</v>
      </c>
      <c r="I346" s="52"/>
      <c r="J346" s="52"/>
      <c r="K346" s="64"/>
      <c r="L346" s="64"/>
      <c r="M346" s="581"/>
      <c r="N346" s="136"/>
      <c r="O346" s="52"/>
      <c r="P346" s="52"/>
      <c r="Q346" s="231"/>
      <c r="R346" s="231"/>
      <c r="S346" s="231"/>
      <c r="T346" s="231"/>
      <c r="U346" s="231"/>
      <c r="V346" s="231"/>
      <c r="W346" s="231"/>
      <c r="X346" s="231"/>
      <c r="Y346" s="231"/>
      <c r="Z346" s="231"/>
      <c r="AA346" s="231"/>
      <c r="AB346" s="231"/>
      <c r="AC346" s="231"/>
      <c r="AD346" s="231"/>
      <c r="AE346" s="231"/>
      <c r="AF346" s="359"/>
      <c r="AG346" s="231"/>
      <c r="AH346" s="231"/>
      <c r="AI346" s="231"/>
      <c r="AJ346" s="231"/>
      <c r="AK346" s="233"/>
    </row>
    <row r="347" spans="1:37" ht="61.5" customHeight="1" x14ac:dyDescent="0.2">
      <c r="A347" s="16"/>
      <c r="B347" s="16"/>
      <c r="C347" s="649">
        <v>37</v>
      </c>
      <c r="D347" s="644" t="s">
        <v>416</v>
      </c>
      <c r="E347" s="649" t="s">
        <v>417</v>
      </c>
      <c r="F347" s="649">
        <v>60</v>
      </c>
      <c r="G347" s="17"/>
      <c r="H347" s="673">
        <v>244</v>
      </c>
      <c r="I347" s="665" t="s">
        <v>418</v>
      </c>
      <c r="J347" s="18" t="s">
        <v>32</v>
      </c>
      <c r="K347" s="19">
        <v>12</v>
      </c>
      <c r="L347" s="20">
        <v>201700360034</v>
      </c>
      <c r="M347" s="21" t="s">
        <v>419</v>
      </c>
      <c r="N347" s="673" t="s">
        <v>420</v>
      </c>
      <c r="O347" s="665" t="s">
        <v>888</v>
      </c>
      <c r="P347" s="673" t="s">
        <v>54</v>
      </c>
      <c r="Q347" s="346">
        <v>0</v>
      </c>
      <c r="R347" s="346">
        <v>0</v>
      </c>
      <c r="S347" s="346">
        <v>0</v>
      </c>
      <c r="T347" s="346">
        <v>0</v>
      </c>
      <c r="U347" s="346">
        <v>0</v>
      </c>
      <c r="V347" s="346">
        <v>0</v>
      </c>
      <c r="W347" s="346">
        <v>0</v>
      </c>
      <c r="X347" s="346"/>
      <c r="Y347" s="346"/>
      <c r="Z347" s="346">
        <v>0</v>
      </c>
      <c r="AA347" s="346">
        <v>0</v>
      </c>
      <c r="AB347" s="346"/>
      <c r="AC347" s="346"/>
      <c r="AD347" s="346">
        <v>0</v>
      </c>
      <c r="AE347" s="346">
        <v>0</v>
      </c>
      <c r="AF347" s="349">
        <f>567000000+60000000</f>
        <v>627000000</v>
      </c>
      <c r="AG347" s="349"/>
      <c r="AH347" s="346">
        <v>0</v>
      </c>
      <c r="AI347" s="348"/>
      <c r="AJ347" s="348"/>
      <c r="AK347" s="346">
        <f>Q347+R347+S347+T347+U347+V347+W347+X347+Y347+Z347+AA347+AB347+AC347+AD347+AE347+AF347+AG347+AH347+AI347+AJ347</f>
        <v>627000000</v>
      </c>
    </row>
    <row r="348" spans="1:37" ht="61.5" customHeight="1" x14ac:dyDescent="0.2">
      <c r="A348" s="16"/>
      <c r="B348" s="16"/>
      <c r="C348" s="648">
        <v>37</v>
      </c>
      <c r="D348" s="642" t="s">
        <v>421</v>
      </c>
      <c r="E348" s="648" t="s">
        <v>417</v>
      </c>
      <c r="F348" s="648">
        <v>60</v>
      </c>
      <c r="G348" s="65"/>
      <c r="H348" s="673">
        <v>245</v>
      </c>
      <c r="I348" s="665" t="s">
        <v>422</v>
      </c>
      <c r="J348" s="18" t="s">
        <v>32</v>
      </c>
      <c r="K348" s="19">
        <v>1</v>
      </c>
      <c r="L348" s="20">
        <v>201700360035</v>
      </c>
      <c r="M348" s="21" t="s">
        <v>419</v>
      </c>
      <c r="N348" s="673" t="s">
        <v>423</v>
      </c>
      <c r="O348" s="665" t="s">
        <v>424</v>
      </c>
      <c r="P348" s="673" t="s">
        <v>41</v>
      </c>
      <c r="Q348" s="346">
        <v>0</v>
      </c>
      <c r="R348" s="346">
        <v>0</v>
      </c>
      <c r="S348" s="346">
        <v>0</v>
      </c>
      <c r="T348" s="346">
        <v>0</v>
      </c>
      <c r="U348" s="346">
        <v>0</v>
      </c>
      <c r="V348" s="346">
        <v>0</v>
      </c>
      <c r="W348" s="346">
        <v>0</v>
      </c>
      <c r="X348" s="346"/>
      <c r="Y348" s="346"/>
      <c r="Z348" s="346">
        <v>0</v>
      </c>
      <c r="AA348" s="346">
        <v>0</v>
      </c>
      <c r="AB348" s="346"/>
      <c r="AC348" s="346"/>
      <c r="AD348" s="346">
        <v>0</v>
      </c>
      <c r="AE348" s="346">
        <v>0</v>
      </c>
      <c r="AF348" s="349">
        <v>60000000</v>
      </c>
      <c r="AG348" s="349"/>
      <c r="AH348" s="346">
        <v>0</v>
      </c>
      <c r="AI348" s="348"/>
      <c r="AJ348" s="348"/>
      <c r="AK348" s="346">
        <f>Q348+R348+S348+T348+U348+V348+W348+X348+Y348+Z348+AA348+AB348+AC348+AD348+AE348+AF348+AG348+AH348+AI348+AJ348</f>
        <v>60000000</v>
      </c>
    </row>
    <row r="349" spans="1:37" ht="30" customHeight="1" x14ac:dyDescent="0.2">
      <c r="A349" s="16"/>
      <c r="B349" s="29"/>
      <c r="C349" s="649"/>
      <c r="D349" s="644"/>
      <c r="E349" s="649"/>
      <c r="F349" s="649"/>
      <c r="G349" s="30"/>
      <c r="H349" s="31"/>
      <c r="I349" s="30"/>
      <c r="J349" s="32"/>
      <c r="K349" s="82"/>
      <c r="L349" s="82"/>
      <c r="M349" s="151"/>
      <c r="N349" s="31"/>
      <c r="O349" s="30"/>
      <c r="P349" s="31"/>
      <c r="Q349" s="355">
        <f t="shared" ref="Q349:AJ349" si="82">SUM(Q347:Q348)</f>
        <v>0</v>
      </c>
      <c r="R349" s="355">
        <f t="shared" si="82"/>
        <v>0</v>
      </c>
      <c r="S349" s="355">
        <f t="shared" si="82"/>
        <v>0</v>
      </c>
      <c r="T349" s="355">
        <f t="shared" si="82"/>
        <v>0</v>
      </c>
      <c r="U349" s="355">
        <f t="shared" si="82"/>
        <v>0</v>
      </c>
      <c r="V349" s="355">
        <f t="shared" si="82"/>
        <v>0</v>
      </c>
      <c r="W349" s="355">
        <f t="shared" si="82"/>
        <v>0</v>
      </c>
      <c r="X349" s="355">
        <f t="shared" si="82"/>
        <v>0</v>
      </c>
      <c r="Y349" s="355">
        <f t="shared" si="82"/>
        <v>0</v>
      </c>
      <c r="Z349" s="355">
        <f t="shared" si="82"/>
        <v>0</v>
      </c>
      <c r="AA349" s="355">
        <f t="shared" si="82"/>
        <v>0</v>
      </c>
      <c r="AB349" s="355">
        <f t="shared" si="82"/>
        <v>0</v>
      </c>
      <c r="AC349" s="355">
        <f t="shared" si="82"/>
        <v>0</v>
      </c>
      <c r="AD349" s="355">
        <f t="shared" si="82"/>
        <v>0</v>
      </c>
      <c r="AE349" s="355">
        <f t="shared" si="82"/>
        <v>0</v>
      </c>
      <c r="AF349" s="355">
        <f t="shared" si="82"/>
        <v>687000000</v>
      </c>
      <c r="AG349" s="355">
        <f t="shared" si="82"/>
        <v>0</v>
      </c>
      <c r="AH349" s="355">
        <f t="shared" si="82"/>
        <v>0</v>
      </c>
      <c r="AI349" s="355">
        <f t="shared" si="82"/>
        <v>0</v>
      </c>
      <c r="AJ349" s="355">
        <f t="shared" si="82"/>
        <v>0</v>
      </c>
      <c r="AK349" s="355">
        <f>SUM(AK347:AK348)</f>
        <v>687000000</v>
      </c>
    </row>
    <row r="350" spans="1:37" ht="30" customHeight="1" x14ac:dyDescent="0.2">
      <c r="A350" s="16"/>
      <c r="B350" s="68"/>
      <c r="C350" s="35"/>
      <c r="D350" s="34"/>
      <c r="E350" s="35"/>
      <c r="F350" s="35"/>
      <c r="G350" s="34"/>
      <c r="H350" s="35"/>
      <c r="I350" s="34"/>
      <c r="J350" s="36"/>
      <c r="K350" s="84"/>
      <c r="L350" s="84"/>
      <c r="M350" s="303"/>
      <c r="N350" s="35"/>
      <c r="O350" s="34"/>
      <c r="P350" s="35"/>
      <c r="Q350" s="361">
        <f t="shared" ref="Q350:AK350" si="83">Q349</f>
        <v>0</v>
      </c>
      <c r="R350" s="361">
        <f t="shared" si="83"/>
        <v>0</v>
      </c>
      <c r="S350" s="361">
        <f t="shared" si="83"/>
        <v>0</v>
      </c>
      <c r="T350" s="361">
        <f t="shared" si="83"/>
        <v>0</v>
      </c>
      <c r="U350" s="361">
        <f t="shared" si="83"/>
        <v>0</v>
      </c>
      <c r="V350" s="361">
        <f t="shared" si="83"/>
        <v>0</v>
      </c>
      <c r="W350" s="361">
        <f t="shared" si="83"/>
        <v>0</v>
      </c>
      <c r="X350" s="361">
        <f t="shared" si="83"/>
        <v>0</v>
      </c>
      <c r="Y350" s="361">
        <f t="shared" si="83"/>
        <v>0</v>
      </c>
      <c r="Z350" s="361">
        <f t="shared" si="83"/>
        <v>0</v>
      </c>
      <c r="AA350" s="361">
        <f t="shared" si="83"/>
        <v>0</v>
      </c>
      <c r="AB350" s="361">
        <f t="shared" si="83"/>
        <v>0</v>
      </c>
      <c r="AC350" s="361">
        <f t="shared" si="83"/>
        <v>0</v>
      </c>
      <c r="AD350" s="361">
        <f t="shared" si="83"/>
        <v>0</v>
      </c>
      <c r="AE350" s="361">
        <f t="shared" si="83"/>
        <v>0</v>
      </c>
      <c r="AF350" s="361">
        <f t="shared" si="83"/>
        <v>687000000</v>
      </c>
      <c r="AG350" s="361">
        <f t="shared" si="83"/>
        <v>0</v>
      </c>
      <c r="AH350" s="361">
        <f t="shared" si="83"/>
        <v>0</v>
      </c>
      <c r="AI350" s="361">
        <f t="shared" si="83"/>
        <v>0</v>
      </c>
      <c r="AJ350" s="361">
        <f t="shared" si="83"/>
        <v>0</v>
      </c>
      <c r="AK350" s="361">
        <f t="shared" si="83"/>
        <v>687000000</v>
      </c>
    </row>
    <row r="351" spans="1:37" ht="30" customHeight="1" x14ac:dyDescent="0.2">
      <c r="A351" s="16"/>
      <c r="B351" s="44"/>
      <c r="C351" s="116"/>
      <c r="D351" s="44"/>
      <c r="E351" s="116"/>
      <c r="F351" s="116"/>
      <c r="G351" s="44"/>
      <c r="H351" s="116"/>
      <c r="I351" s="44"/>
      <c r="J351" s="45"/>
      <c r="K351" s="225"/>
      <c r="L351" s="225"/>
      <c r="M351" s="62"/>
      <c r="N351" s="116"/>
      <c r="O351" s="44"/>
      <c r="P351" s="116"/>
      <c r="Q351" s="350"/>
      <c r="R351" s="350"/>
      <c r="S351" s="350"/>
      <c r="T351" s="350"/>
      <c r="U351" s="350"/>
      <c r="V351" s="350"/>
      <c r="W351" s="350"/>
      <c r="X351" s="350"/>
      <c r="Y351" s="350"/>
      <c r="Z351" s="350"/>
      <c r="AA351" s="350"/>
      <c r="AB351" s="350"/>
      <c r="AC351" s="350"/>
      <c r="AD351" s="350"/>
      <c r="AE351" s="350"/>
      <c r="AF351" s="352"/>
      <c r="AG351" s="353"/>
      <c r="AH351" s="350"/>
      <c r="AI351" s="350"/>
      <c r="AJ351" s="350"/>
      <c r="AK351" s="354"/>
    </row>
    <row r="352" spans="1:37" ht="30" customHeight="1" x14ac:dyDescent="0.2">
      <c r="A352" s="16"/>
      <c r="B352" s="93">
        <v>28</v>
      </c>
      <c r="C352" s="13" t="s">
        <v>27</v>
      </c>
      <c r="D352" s="12"/>
      <c r="E352" s="12"/>
      <c r="F352" s="12"/>
      <c r="G352" s="12"/>
      <c r="H352" s="13"/>
      <c r="I352" s="12"/>
      <c r="J352" s="12"/>
      <c r="K352" s="94"/>
      <c r="L352" s="94"/>
      <c r="M352" s="579"/>
      <c r="N352" s="13"/>
      <c r="O352" s="12"/>
      <c r="P352" s="12"/>
      <c r="Q352" s="357"/>
      <c r="R352" s="357"/>
      <c r="S352" s="357"/>
      <c r="T352" s="357"/>
      <c r="U352" s="357"/>
      <c r="V352" s="357"/>
      <c r="W352" s="357"/>
      <c r="X352" s="357"/>
      <c r="Y352" s="357"/>
      <c r="Z352" s="357"/>
      <c r="AA352" s="357"/>
      <c r="AB352" s="357"/>
      <c r="AC352" s="357"/>
      <c r="AD352" s="357"/>
      <c r="AE352" s="357"/>
      <c r="AF352" s="358"/>
      <c r="AG352" s="357"/>
      <c r="AH352" s="357"/>
      <c r="AI352" s="357"/>
      <c r="AJ352" s="357"/>
      <c r="AK352" s="362"/>
    </row>
    <row r="353" spans="1:37" ht="30" customHeight="1" x14ac:dyDescent="0.2">
      <c r="A353" s="16"/>
      <c r="B353" s="48"/>
      <c r="C353" s="648"/>
      <c r="D353" s="642"/>
      <c r="E353" s="648"/>
      <c r="F353" s="648"/>
      <c r="G353" s="181">
        <v>89</v>
      </c>
      <c r="H353" s="52" t="s">
        <v>28</v>
      </c>
      <c r="I353" s="52"/>
      <c r="J353" s="52"/>
      <c r="K353" s="96"/>
      <c r="L353" s="96"/>
      <c r="M353" s="581"/>
      <c r="N353" s="136"/>
      <c r="O353" s="52"/>
      <c r="P353" s="52"/>
      <c r="Q353" s="231"/>
      <c r="R353" s="231"/>
      <c r="S353" s="231"/>
      <c r="T353" s="231"/>
      <c r="U353" s="231"/>
      <c r="V353" s="231"/>
      <c r="W353" s="231"/>
      <c r="X353" s="231"/>
      <c r="Y353" s="231"/>
      <c r="Z353" s="231"/>
      <c r="AA353" s="231"/>
      <c r="AB353" s="231"/>
      <c r="AC353" s="231"/>
      <c r="AD353" s="231"/>
      <c r="AE353" s="231"/>
      <c r="AF353" s="359"/>
      <c r="AG353" s="231"/>
      <c r="AH353" s="231"/>
      <c r="AI353" s="231"/>
      <c r="AJ353" s="231"/>
      <c r="AK353" s="233"/>
    </row>
    <row r="354" spans="1:37" ht="69.75" customHeight="1" x14ac:dyDescent="0.2">
      <c r="A354" s="16"/>
      <c r="B354" s="16"/>
      <c r="C354" s="648">
        <v>37</v>
      </c>
      <c r="D354" s="642" t="s">
        <v>416</v>
      </c>
      <c r="E354" s="648" t="s">
        <v>417</v>
      </c>
      <c r="F354" s="648">
        <v>60</v>
      </c>
      <c r="G354" s="665"/>
      <c r="H354" s="673">
        <v>288</v>
      </c>
      <c r="I354" s="665" t="s">
        <v>425</v>
      </c>
      <c r="J354" s="18">
        <v>1</v>
      </c>
      <c r="K354" s="19">
        <v>1</v>
      </c>
      <c r="L354" s="20">
        <v>201700360033</v>
      </c>
      <c r="M354" s="21" t="s">
        <v>419</v>
      </c>
      <c r="N354" s="673" t="s">
        <v>426</v>
      </c>
      <c r="O354" s="665" t="s">
        <v>889</v>
      </c>
      <c r="P354" s="673" t="s">
        <v>41</v>
      </c>
      <c r="Q354" s="346"/>
      <c r="R354" s="346"/>
      <c r="S354" s="346"/>
      <c r="T354" s="346"/>
      <c r="U354" s="346"/>
      <c r="V354" s="346"/>
      <c r="W354" s="346"/>
      <c r="X354" s="346"/>
      <c r="Y354" s="346"/>
      <c r="Z354" s="346"/>
      <c r="AA354" s="346"/>
      <c r="AB354" s="346"/>
      <c r="AC354" s="346"/>
      <c r="AD354" s="346"/>
      <c r="AE354" s="346"/>
      <c r="AF354" s="547">
        <f>617000000+200000000+50000000</f>
        <v>867000000</v>
      </c>
      <c r="AG354" s="347"/>
      <c r="AH354" s="346"/>
      <c r="AI354" s="348"/>
      <c r="AJ354" s="348"/>
      <c r="AK354" s="346">
        <f>Q354+R354+S354+T354+U354+V354+W354+X354+Y354+Z354+AA354+AB354+AC354+AD354+AE354+AF354+AG354+AH354+AI354+AJ354</f>
        <v>867000000</v>
      </c>
    </row>
    <row r="355" spans="1:37" ht="30" customHeight="1" x14ac:dyDescent="0.2">
      <c r="A355" s="16"/>
      <c r="B355" s="29"/>
      <c r="C355" s="649"/>
      <c r="D355" s="644"/>
      <c r="E355" s="649"/>
      <c r="F355" s="649"/>
      <c r="G355" s="30"/>
      <c r="H355" s="31"/>
      <c r="I355" s="30"/>
      <c r="J355" s="32"/>
      <c r="K355" s="82"/>
      <c r="L355" s="82"/>
      <c r="M355" s="151"/>
      <c r="N355" s="31"/>
      <c r="O355" s="30"/>
      <c r="P355" s="31"/>
      <c r="Q355" s="407">
        <f t="shared" ref="Q355:AJ355" si="84">SUM(Q354)</f>
        <v>0</v>
      </c>
      <c r="R355" s="407">
        <f t="shared" si="84"/>
        <v>0</v>
      </c>
      <c r="S355" s="407">
        <f t="shared" si="84"/>
        <v>0</v>
      </c>
      <c r="T355" s="407">
        <f t="shared" si="84"/>
        <v>0</v>
      </c>
      <c r="U355" s="407">
        <f t="shared" si="84"/>
        <v>0</v>
      </c>
      <c r="V355" s="407">
        <f t="shared" si="84"/>
        <v>0</v>
      </c>
      <c r="W355" s="407">
        <f t="shared" si="84"/>
        <v>0</v>
      </c>
      <c r="X355" s="407">
        <f t="shared" si="84"/>
        <v>0</v>
      </c>
      <c r="Y355" s="407">
        <f t="shared" si="84"/>
        <v>0</v>
      </c>
      <c r="Z355" s="407">
        <f t="shared" si="84"/>
        <v>0</v>
      </c>
      <c r="AA355" s="407">
        <f t="shared" si="84"/>
        <v>0</v>
      </c>
      <c r="AB355" s="407">
        <f t="shared" si="84"/>
        <v>0</v>
      </c>
      <c r="AC355" s="407">
        <f t="shared" si="84"/>
        <v>0</v>
      </c>
      <c r="AD355" s="407">
        <f t="shared" si="84"/>
        <v>0</v>
      </c>
      <c r="AE355" s="407">
        <f t="shared" si="84"/>
        <v>0</v>
      </c>
      <c r="AF355" s="407">
        <f t="shared" si="84"/>
        <v>867000000</v>
      </c>
      <c r="AG355" s="407">
        <f t="shared" si="84"/>
        <v>0</v>
      </c>
      <c r="AH355" s="407">
        <f t="shared" si="84"/>
        <v>0</v>
      </c>
      <c r="AI355" s="407">
        <f t="shared" si="84"/>
        <v>0</v>
      </c>
      <c r="AJ355" s="407">
        <f t="shared" si="84"/>
        <v>0</v>
      </c>
      <c r="AK355" s="407">
        <f>SUM(AK354)</f>
        <v>867000000</v>
      </c>
    </row>
    <row r="356" spans="1:37" ht="30" customHeight="1" x14ac:dyDescent="0.2">
      <c r="A356" s="29"/>
      <c r="B356" s="68"/>
      <c r="C356" s="35"/>
      <c r="D356" s="34"/>
      <c r="E356" s="35"/>
      <c r="F356" s="35"/>
      <c r="G356" s="34"/>
      <c r="H356" s="35"/>
      <c r="I356" s="34"/>
      <c r="J356" s="36"/>
      <c r="K356" s="84"/>
      <c r="L356" s="84"/>
      <c r="M356" s="303"/>
      <c r="N356" s="35"/>
      <c r="O356" s="34"/>
      <c r="P356" s="35"/>
      <c r="Q356" s="417">
        <f t="shared" ref="Q356:AJ356" si="85">Q355</f>
        <v>0</v>
      </c>
      <c r="R356" s="417">
        <f t="shared" si="85"/>
        <v>0</v>
      </c>
      <c r="S356" s="417">
        <f t="shared" si="85"/>
        <v>0</v>
      </c>
      <c r="T356" s="417">
        <f t="shared" si="85"/>
        <v>0</v>
      </c>
      <c r="U356" s="417">
        <f t="shared" si="85"/>
        <v>0</v>
      </c>
      <c r="V356" s="417">
        <f t="shared" si="85"/>
        <v>0</v>
      </c>
      <c r="W356" s="417">
        <f t="shared" si="85"/>
        <v>0</v>
      </c>
      <c r="X356" s="417">
        <f t="shared" si="85"/>
        <v>0</v>
      </c>
      <c r="Y356" s="417">
        <f t="shared" si="85"/>
        <v>0</v>
      </c>
      <c r="Z356" s="417">
        <f t="shared" si="85"/>
        <v>0</v>
      </c>
      <c r="AA356" s="417">
        <f t="shared" si="85"/>
        <v>0</v>
      </c>
      <c r="AB356" s="417">
        <f t="shared" si="85"/>
        <v>0</v>
      </c>
      <c r="AC356" s="417">
        <f t="shared" si="85"/>
        <v>0</v>
      </c>
      <c r="AD356" s="417">
        <f t="shared" si="85"/>
        <v>0</v>
      </c>
      <c r="AE356" s="417">
        <f t="shared" si="85"/>
        <v>0</v>
      </c>
      <c r="AF356" s="417">
        <f t="shared" si="85"/>
        <v>867000000</v>
      </c>
      <c r="AG356" s="417">
        <f t="shared" si="85"/>
        <v>0</v>
      </c>
      <c r="AH356" s="417">
        <f t="shared" si="85"/>
        <v>0</v>
      </c>
      <c r="AI356" s="417">
        <f t="shared" si="85"/>
        <v>0</v>
      </c>
      <c r="AJ356" s="417">
        <f t="shared" si="85"/>
        <v>0</v>
      </c>
      <c r="AK356" s="417">
        <f>AK355</f>
        <v>867000000</v>
      </c>
    </row>
    <row r="357" spans="1:37" ht="30" customHeight="1" x14ac:dyDescent="0.2">
      <c r="A357" s="37"/>
      <c r="B357" s="37"/>
      <c r="C357" s="38"/>
      <c r="D357" s="37"/>
      <c r="E357" s="38"/>
      <c r="F357" s="38"/>
      <c r="G357" s="37"/>
      <c r="H357" s="38"/>
      <c r="I357" s="37"/>
      <c r="J357" s="39"/>
      <c r="K357" s="85"/>
      <c r="L357" s="85"/>
      <c r="M357" s="311"/>
      <c r="N357" s="38"/>
      <c r="O357" s="37"/>
      <c r="P357" s="38"/>
      <c r="Q357" s="418">
        <f t="shared" ref="Q357:AJ357" si="86">Q356+Q350</f>
        <v>0</v>
      </c>
      <c r="R357" s="418">
        <f t="shared" si="86"/>
        <v>0</v>
      </c>
      <c r="S357" s="418">
        <f t="shared" si="86"/>
        <v>0</v>
      </c>
      <c r="T357" s="418">
        <f t="shared" si="86"/>
        <v>0</v>
      </c>
      <c r="U357" s="418">
        <f t="shared" si="86"/>
        <v>0</v>
      </c>
      <c r="V357" s="418">
        <f t="shared" si="86"/>
        <v>0</v>
      </c>
      <c r="W357" s="418">
        <f t="shared" si="86"/>
        <v>0</v>
      </c>
      <c r="X357" s="418">
        <f t="shared" si="86"/>
        <v>0</v>
      </c>
      <c r="Y357" s="418">
        <f t="shared" si="86"/>
        <v>0</v>
      </c>
      <c r="Z357" s="418">
        <f t="shared" si="86"/>
        <v>0</v>
      </c>
      <c r="AA357" s="418">
        <f t="shared" si="86"/>
        <v>0</v>
      </c>
      <c r="AB357" s="418">
        <f t="shared" si="86"/>
        <v>0</v>
      </c>
      <c r="AC357" s="418">
        <f t="shared" si="86"/>
        <v>0</v>
      </c>
      <c r="AD357" s="418">
        <f t="shared" si="86"/>
        <v>0</v>
      </c>
      <c r="AE357" s="418">
        <f t="shared" si="86"/>
        <v>0</v>
      </c>
      <c r="AF357" s="418">
        <f t="shared" si="86"/>
        <v>1554000000</v>
      </c>
      <c r="AG357" s="418">
        <f t="shared" si="86"/>
        <v>0</v>
      </c>
      <c r="AH357" s="418">
        <f t="shared" si="86"/>
        <v>0</v>
      </c>
      <c r="AI357" s="418">
        <f t="shared" si="86"/>
        <v>0</v>
      </c>
      <c r="AJ357" s="418">
        <f t="shared" si="86"/>
        <v>0</v>
      </c>
      <c r="AK357" s="418">
        <f>AK356+AK350</f>
        <v>1554000000</v>
      </c>
    </row>
    <row r="358" spans="1:37" ht="30" customHeight="1" x14ac:dyDescent="0.2">
      <c r="A358" s="40"/>
      <c r="B358" s="40"/>
      <c r="C358" s="41"/>
      <c r="D358" s="40"/>
      <c r="E358" s="41"/>
      <c r="F358" s="41"/>
      <c r="G358" s="40"/>
      <c r="H358" s="41"/>
      <c r="I358" s="40"/>
      <c r="J358" s="42"/>
      <c r="K358" s="86"/>
      <c r="L358" s="86"/>
      <c r="M358" s="285"/>
      <c r="N358" s="41"/>
      <c r="O358" s="40"/>
      <c r="P358" s="41"/>
      <c r="Q358" s="419">
        <f t="shared" ref="Q358:AJ358" si="87">Q357</f>
        <v>0</v>
      </c>
      <c r="R358" s="419">
        <f t="shared" si="87"/>
        <v>0</v>
      </c>
      <c r="S358" s="419">
        <f t="shared" si="87"/>
        <v>0</v>
      </c>
      <c r="T358" s="419">
        <f t="shared" si="87"/>
        <v>0</v>
      </c>
      <c r="U358" s="419">
        <f t="shared" si="87"/>
        <v>0</v>
      </c>
      <c r="V358" s="419">
        <f t="shared" si="87"/>
        <v>0</v>
      </c>
      <c r="W358" s="419">
        <f t="shared" si="87"/>
        <v>0</v>
      </c>
      <c r="X358" s="419">
        <f t="shared" si="87"/>
        <v>0</v>
      </c>
      <c r="Y358" s="419">
        <f t="shared" si="87"/>
        <v>0</v>
      </c>
      <c r="Z358" s="419">
        <f t="shared" si="87"/>
        <v>0</v>
      </c>
      <c r="AA358" s="419">
        <f t="shared" si="87"/>
        <v>0</v>
      </c>
      <c r="AB358" s="419">
        <f t="shared" si="87"/>
        <v>0</v>
      </c>
      <c r="AC358" s="419">
        <f t="shared" si="87"/>
        <v>0</v>
      </c>
      <c r="AD358" s="419">
        <f t="shared" si="87"/>
        <v>0</v>
      </c>
      <c r="AE358" s="419">
        <f t="shared" si="87"/>
        <v>0</v>
      </c>
      <c r="AF358" s="419">
        <f t="shared" si="87"/>
        <v>1554000000</v>
      </c>
      <c r="AG358" s="419">
        <f t="shared" si="87"/>
        <v>0</v>
      </c>
      <c r="AH358" s="419">
        <f t="shared" si="87"/>
        <v>0</v>
      </c>
      <c r="AI358" s="419">
        <f t="shared" si="87"/>
        <v>0</v>
      </c>
      <c r="AJ358" s="419">
        <f t="shared" si="87"/>
        <v>0</v>
      </c>
      <c r="AK358" s="419">
        <f>AK357</f>
        <v>1554000000</v>
      </c>
    </row>
    <row r="359" spans="1:37" ht="30" customHeight="1" x14ac:dyDescent="0.2">
      <c r="A359" s="43"/>
      <c r="B359" s="44"/>
      <c r="C359" s="116"/>
      <c r="D359" s="44"/>
      <c r="E359" s="116"/>
      <c r="F359" s="116"/>
      <c r="G359" s="44"/>
      <c r="H359" s="116"/>
      <c r="I359" s="44"/>
      <c r="J359" s="45"/>
      <c r="K359" s="225"/>
      <c r="L359" s="225"/>
      <c r="M359" s="62"/>
      <c r="N359" s="116"/>
      <c r="O359" s="44"/>
      <c r="P359" s="116"/>
      <c r="Q359" s="350"/>
      <c r="R359" s="350"/>
      <c r="S359" s="350"/>
      <c r="T359" s="350"/>
      <c r="U359" s="350"/>
      <c r="V359" s="350"/>
      <c r="W359" s="350"/>
      <c r="X359" s="350"/>
      <c r="Y359" s="350"/>
      <c r="Z359" s="350"/>
      <c r="AA359" s="350"/>
      <c r="AB359" s="351"/>
      <c r="AC359" s="351"/>
      <c r="AD359" s="350"/>
      <c r="AE359" s="350"/>
      <c r="AF359" s="352"/>
      <c r="AG359" s="353"/>
      <c r="AH359" s="350"/>
      <c r="AI359" s="350"/>
      <c r="AJ359" s="350"/>
      <c r="AK359" s="350"/>
    </row>
    <row r="360" spans="1:37" ht="30" customHeight="1" x14ac:dyDescent="0.2">
      <c r="A360" s="4" t="s">
        <v>427</v>
      </c>
      <c r="B360" s="5"/>
      <c r="C360" s="6"/>
      <c r="D360" s="5"/>
      <c r="E360" s="5"/>
      <c r="F360" s="5"/>
      <c r="G360" s="5"/>
      <c r="H360" s="6"/>
      <c r="I360" s="5"/>
      <c r="J360" s="5"/>
      <c r="K360" s="226"/>
      <c r="L360" s="226"/>
      <c r="M360" s="577"/>
      <c r="N360" s="6"/>
      <c r="O360" s="5"/>
      <c r="P360" s="6"/>
      <c r="Q360" s="413"/>
      <c r="R360" s="413"/>
      <c r="S360" s="413"/>
      <c r="T360" s="413"/>
      <c r="U360" s="413"/>
      <c r="V360" s="413"/>
      <c r="W360" s="413"/>
      <c r="X360" s="413"/>
      <c r="Y360" s="413"/>
      <c r="Z360" s="413"/>
      <c r="AA360" s="413"/>
      <c r="AB360" s="413"/>
      <c r="AC360" s="413"/>
      <c r="AD360" s="413"/>
      <c r="AE360" s="413"/>
      <c r="AF360" s="414"/>
      <c r="AG360" s="415"/>
      <c r="AH360" s="413"/>
      <c r="AI360" s="413"/>
      <c r="AJ360" s="413"/>
      <c r="AK360" s="413" t="s">
        <v>56</v>
      </c>
    </row>
    <row r="361" spans="1:37" ht="30" customHeight="1" x14ac:dyDescent="0.2">
      <c r="A361" s="679">
        <v>3</v>
      </c>
      <c r="B361" s="7" t="s">
        <v>233</v>
      </c>
      <c r="C361" s="8"/>
      <c r="D361" s="7"/>
      <c r="E361" s="7"/>
      <c r="F361" s="7"/>
      <c r="G361" s="7"/>
      <c r="H361" s="8"/>
      <c r="I361" s="7"/>
      <c r="J361" s="7"/>
      <c r="K361" s="92"/>
      <c r="L361" s="92"/>
      <c r="M361" s="578"/>
      <c r="N361" s="8"/>
      <c r="O361" s="7"/>
      <c r="P361" s="7"/>
      <c r="Q361" s="376"/>
      <c r="R361" s="376"/>
      <c r="S361" s="376"/>
      <c r="T361" s="376"/>
      <c r="U361" s="376"/>
      <c r="V361" s="376"/>
      <c r="W361" s="376"/>
      <c r="X361" s="376"/>
      <c r="Y361" s="376"/>
      <c r="Z361" s="376"/>
      <c r="AA361" s="376"/>
      <c r="AB361" s="376"/>
      <c r="AC361" s="376"/>
      <c r="AD361" s="376"/>
      <c r="AE361" s="376"/>
      <c r="AF361" s="377"/>
      <c r="AG361" s="376"/>
      <c r="AH361" s="376"/>
      <c r="AI361" s="376"/>
      <c r="AJ361" s="376"/>
      <c r="AK361" s="376"/>
    </row>
    <row r="362" spans="1:37" ht="30" customHeight="1" x14ac:dyDescent="0.2">
      <c r="A362" s="48"/>
      <c r="B362" s="93">
        <v>5</v>
      </c>
      <c r="C362" s="11" t="s">
        <v>428</v>
      </c>
      <c r="D362" s="12"/>
      <c r="E362" s="12"/>
      <c r="F362" s="12"/>
      <c r="G362" s="12"/>
      <c r="H362" s="13"/>
      <c r="I362" s="12"/>
      <c r="J362" s="12"/>
      <c r="K362" s="94"/>
      <c r="L362" s="94"/>
      <c r="M362" s="579"/>
      <c r="N362" s="13"/>
      <c r="O362" s="12"/>
      <c r="P362" s="12"/>
      <c r="Q362" s="357"/>
      <c r="R362" s="357"/>
      <c r="S362" s="357"/>
      <c r="T362" s="357"/>
      <c r="U362" s="357"/>
      <c r="V362" s="357"/>
      <c r="W362" s="357"/>
      <c r="X362" s="357"/>
      <c r="Y362" s="357"/>
      <c r="Z362" s="357"/>
      <c r="AA362" s="357"/>
      <c r="AB362" s="357"/>
      <c r="AC362" s="357"/>
      <c r="AD362" s="357"/>
      <c r="AE362" s="357"/>
      <c r="AF362" s="358"/>
      <c r="AG362" s="357"/>
      <c r="AH362" s="357"/>
      <c r="AI362" s="357"/>
      <c r="AJ362" s="357"/>
      <c r="AK362" s="357"/>
    </row>
    <row r="363" spans="1:37" ht="30" customHeight="1" x14ac:dyDescent="0.2">
      <c r="A363" s="16"/>
      <c r="B363" s="48"/>
      <c r="C363" s="648"/>
      <c r="D363" s="642"/>
      <c r="E363" s="648"/>
      <c r="F363" s="648"/>
      <c r="G363" s="181">
        <v>16</v>
      </c>
      <c r="H363" s="52" t="s">
        <v>429</v>
      </c>
      <c r="I363" s="52"/>
      <c r="J363" s="52"/>
      <c r="K363" s="96"/>
      <c r="L363" s="96"/>
      <c r="M363" s="581"/>
      <c r="N363" s="136"/>
      <c r="O363" s="52"/>
      <c r="P363" s="52"/>
      <c r="Q363" s="231"/>
      <c r="R363" s="231"/>
      <c r="S363" s="231"/>
      <c r="T363" s="231"/>
      <c r="U363" s="231"/>
      <c r="V363" s="231"/>
      <c r="W363" s="231"/>
      <c r="X363" s="231"/>
      <c r="Y363" s="231"/>
      <c r="Z363" s="231"/>
      <c r="AA363" s="231"/>
      <c r="AB363" s="231"/>
      <c r="AC363" s="231"/>
      <c r="AD363" s="231"/>
      <c r="AE363" s="231"/>
      <c r="AF363" s="359"/>
      <c r="AG363" s="231"/>
      <c r="AH363" s="231"/>
      <c r="AI363" s="231"/>
      <c r="AJ363" s="231"/>
      <c r="AK363" s="231"/>
    </row>
    <row r="364" spans="1:37" ht="69.75" customHeight="1" x14ac:dyDescent="0.2">
      <c r="A364" s="16"/>
      <c r="B364" s="16"/>
      <c r="C364" s="649">
        <v>15</v>
      </c>
      <c r="D364" s="644" t="s">
        <v>430</v>
      </c>
      <c r="E364" s="249">
        <v>0.73229999999999995</v>
      </c>
      <c r="F364" s="249">
        <v>0.78</v>
      </c>
      <c r="G364" s="17"/>
      <c r="H364" s="673">
        <v>65</v>
      </c>
      <c r="I364" s="665" t="s">
        <v>431</v>
      </c>
      <c r="J364" s="132">
        <v>1</v>
      </c>
      <c r="K364" s="80">
        <v>1</v>
      </c>
      <c r="L364" s="743">
        <v>2017003630002</v>
      </c>
      <c r="M364" s="760" t="s">
        <v>432</v>
      </c>
      <c r="N364" s="731" t="s">
        <v>433</v>
      </c>
      <c r="O364" s="734" t="s">
        <v>890</v>
      </c>
      <c r="P364" s="673" t="s">
        <v>41</v>
      </c>
      <c r="Q364" s="346">
        <v>0</v>
      </c>
      <c r="R364" s="346">
        <v>0</v>
      </c>
      <c r="S364" s="346">
        <v>0</v>
      </c>
      <c r="T364" s="346">
        <v>0</v>
      </c>
      <c r="U364" s="346">
        <v>0</v>
      </c>
      <c r="V364" s="346">
        <v>0</v>
      </c>
      <c r="W364" s="420">
        <f>2640000000</f>
        <v>2640000000</v>
      </c>
      <c r="X364" s="346"/>
      <c r="Y364" s="346"/>
      <c r="Z364" s="346">
        <v>0</v>
      </c>
      <c r="AA364" s="346">
        <v>0</v>
      </c>
      <c r="AB364" s="346"/>
      <c r="AC364" s="346"/>
      <c r="AD364" s="346"/>
      <c r="AE364" s="346">
        <v>0</v>
      </c>
      <c r="AF364" s="614">
        <f>1250000000+97827540+1000000000-584035436+1400000000</f>
        <v>3163792104</v>
      </c>
      <c r="AG364" s="349"/>
      <c r="AH364" s="346">
        <v>79557</v>
      </c>
      <c r="AI364" s="421"/>
      <c r="AJ364" s="421"/>
      <c r="AK364" s="346">
        <f>Q364+R364+S364+T364+U364+V364+W364+X364+Y364+Z364+AA364+AB364+AC364+AD364+AE364+AF364+AG364+AH364+AI364+AJ364</f>
        <v>5803871661</v>
      </c>
    </row>
    <row r="365" spans="1:37" ht="69.75" customHeight="1" x14ac:dyDescent="0.2">
      <c r="A365" s="16"/>
      <c r="B365" s="16"/>
      <c r="C365" s="663">
        <v>19</v>
      </c>
      <c r="D365" s="665" t="s">
        <v>434</v>
      </c>
      <c r="E365" s="227" t="s">
        <v>435</v>
      </c>
      <c r="F365" s="227" t="s">
        <v>436</v>
      </c>
      <c r="G365" s="23"/>
      <c r="H365" s="673">
        <v>66</v>
      </c>
      <c r="I365" s="665" t="s">
        <v>437</v>
      </c>
      <c r="J365" s="132">
        <v>1</v>
      </c>
      <c r="K365" s="80">
        <v>1</v>
      </c>
      <c r="L365" s="744"/>
      <c r="M365" s="761"/>
      <c r="N365" s="732"/>
      <c r="O365" s="735"/>
      <c r="P365" s="673" t="s">
        <v>41</v>
      </c>
      <c r="Q365" s="346"/>
      <c r="R365" s="346"/>
      <c r="S365" s="346"/>
      <c r="T365" s="346"/>
      <c r="U365" s="346"/>
      <c r="V365" s="346"/>
      <c r="W365" s="540">
        <f>740763200-373504909</f>
        <v>367258291</v>
      </c>
      <c r="X365" s="346"/>
      <c r="Y365" s="346"/>
      <c r="Z365" s="346"/>
      <c r="AA365" s="346"/>
      <c r="AB365" s="422">
        <f>35181428-35181428</f>
        <v>0</v>
      </c>
      <c r="AC365" s="346"/>
      <c r="AD365" s="546">
        <f>7780000000+622078305+643761133+35181428+454906981-1319428267.76</f>
        <v>8216499579.2399998</v>
      </c>
      <c r="AE365" s="346"/>
      <c r="AF365" s="615">
        <f>287000000+1977067+30000000-30000000-4261550</f>
        <v>284715517</v>
      </c>
      <c r="AG365" s="349"/>
      <c r="AH365" s="346"/>
      <c r="AI365" s="348"/>
      <c r="AJ365" s="546">
        <f>709732517-168602347</f>
        <v>541130170</v>
      </c>
      <c r="AK365" s="346">
        <f>Q365+R365+S365+T365+U365+V365+W365+X365+Y365+Z365+AA365+AB365+AC365+AD365+AE365+AF365+AG365+AH365+AI365+AJ365</f>
        <v>9409603557.2399998</v>
      </c>
    </row>
    <row r="366" spans="1:37" ht="69.75" customHeight="1" x14ac:dyDescent="0.2">
      <c r="A366" s="16"/>
      <c r="B366" s="16"/>
      <c r="C366" s="648">
        <v>14</v>
      </c>
      <c r="D366" s="17" t="s">
        <v>438</v>
      </c>
      <c r="E366" s="668">
        <v>6.2E-2</v>
      </c>
      <c r="F366" s="668">
        <v>0.03</v>
      </c>
      <c r="G366" s="23"/>
      <c r="H366" s="673">
        <v>67</v>
      </c>
      <c r="I366" s="665" t="s">
        <v>439</v>
      </c>
      <c r="J366" s="132">
        <v>1</v>
      </c>
      <c r="K366" s="80">
        <v>1</v>
      </c>
      <c r="L366" s="745"/>
      <c r="M366" s="762"/>
      <c r="N366" s="733"/>
      <c r="O366" s="736"/>
      <c r="P366" s="673" t="s">
        <v>41</v>
      </c>
      <c r="Q366" s="346"/>
      <c r="R366" s="346"/>
      <c r="S366" s="346"/>
      <c r="T366" s="346"/>
      <c r="U366" s="346"/>
      <c r="V366" s="346"/>
      <c r="W366" s="420">
        <f>114133362+76666638</f>
        <v>190800000</v>
      </c>
      <c r="X366" s="346"/>
      <c r="Y366" s="346"/>
      <c r="Z366" s="346"/>
      <c r="AA366" s="346"/>
      <c r="AB366" s="346"/>
      <c r="AC366" s="346"/>
      <c r="AD366" s="346"/>
      <c r="AE366" s="346"/>
      <c r="AF366" s="423">
        <v>900000000</v>
      </c>
      <c r="AG366" s="349"/>
      <c r="AH366" s="346"/>
      <c r="AI366" s="348"/>
      <c r="AJ366" s="348"/>
      <c r="AK366" s="346">
        <f>Q366+R366+S366+T366+U366+V366+W366+X366+Y366+Z366+AA366+AB366+AC366+AD366+AE366+AF366+AG366+AH366+AI366+AJ366</f>
        <v>1090800000</v>
      </c>
    </row>
    <row r="367" spans="1:37" ht="30" customHeight="1" x14ac:dyDescent="0.2">
      <c r="A367" s="16"/>
      <c r="B367" s="16"/>
      <c r="C367" s="649"/>
      <c r="D367" s="644"/>
      <c r="E367" s="649"/>
      <c r="F367" s="649"/>
      <c r="G367" s="30"/>
      <c r="H367" s="31"/>
      <c r="I367" s="30"/>
      <c r="J367" s="154"/>
      <c r="K367" s="104"/>
      <c r="L367" s="104"/>
      <c r="M367" s="200"/>
      <c r="N367" s="31"/>
      <c r="O367" s="30"/>
      <c r="P367" s="31"/>
      <c r="Q367" s="424">
        <f t="shared" ref="Q367:AI367" si="88">SUM(Q364:Q366)</f>
        <v>0</v>
      </c>
      <c r="R367" s="424">
        <f t="shared" si="88"/>
        <v>0</v>
      </c>
      <c r="S367" s="424">
        <f t="shared" si="88"/>
        <v>0</v>
      </c>
      <c r="T367" s="424">
        <f t="shared" si="88"/>
        <v>0</v>
      </c>
      <c r="U367" s="424">
        <f t="shared" si="88"/>
        <v>0</v>
      </c>
      <c r="V367" s="424">
        <f t="shared" si="88"/>
        <v>0</v>
      </c>
      <c r="W367" s="424">
        <f t="shared" si="88"/>
        <v>3198058291</v>
      </c>
      <c r="X367" s="424">
        <f t="shared" si="88"/>
        <v>0</v>
      </c>
      <c r="Y367" s="424">
        <f t="shared" si="88"/>
        <v>0</v>
      </c>
      <c r="Z367" s="424">
        <f t="shared" si="88"/>
        <v>0</v>
      </c>
      <c r="AA367" s="424">
        <f t="shared" si="88"/>
        <v>0</v>
      </c>
      <c r="AB367" s="424">
        <f t="shared" si="88"/>
        <v>0</v>
      </c>
      <c r="AC367" s="424">
        <f t="shared" si="88"/>
        <v>0</v>
      </c>
      <c r="AD367" s="424">
        <f t="shared" si="88"/>
        <v>8216499579.2399998</v>
      </c>
      <c r="AE367" s="424">
        <f t="shared" si="88"/>
        <v>0</v>
      </c>
      <c r="AF367" s="424">
        <f t="shared" si="88"/>
        <v>4348507621</v>
      </c>
      <c r="AG367" s="424">
        <f t="shared" si="88"/>
        <v>0</v>
      </c>
      <c r="AH367" s="424">
        <f t="shared" si="88"/>
        <v>79557</v>
      </c>
      <c r="AI367" s="424">
        <f t="shared" si="88"/>
        <v>0</v>
      </c>
      <c r="AJ367" s="424">
        <f>SUM(AJ364:AJ366)</f>
        <v>541130170</v>
      </c>
      <c r="AK367" s="424">
        <f>SUM(AK364:AK366)</f>
        <v>16304275218.24</v>
      </c>
    </row>
    <row r="368" spans="1:37" ht="30" customHeight="1" x14ac:dyDescent="0.2">
      <c r="A368" s="16"/>
      <c r="B368" s="16"/>
      <c r="C368" s="116"/>
      <c r="D368" s="44"/>
      <c r="E368" s="228"/>
      <c r="F368" s="228"/>
      <c r="G368" s="44"/>
      <c r="H368" s="116"/>
      <c r="I368" s="44"/>
      <c r="J368" s="158"/>
      <c r="K368" s="117"/>
      <c r="L368" s="229"/>
      <c r="M368" s="592"/>
      <c r="N368" s="345"/>
      <c r="O368" s="74"/>
      <c r="P368" s="116"/>
      <c r="Q368" s="350"/>
      <c r="R368" s="351"/>
      <c r="S368" s="350"/>
      <c r="T368" s="350"/>
      <c r="U368" s="350"/>
      <c r="V368" s="350"/>
      <c r="W368" s="350"/>
      <c r="X368" s="350"/>
      <c r="Y368" s="350"/>
      <c r="Z368" s="350"/>
      <c r="AA368" s="350"/>
      <c r="AB368" s="351"/>
      <c r="AC368" s="351"/>
      <c r="AD368" s="350"/>
      <c r="AE368" s="350"/>
      <c r="AF368" s="693" t="s">
        <v>56</v>
      </c>
      <c r="AG368" s="353"/>
      <c r="AH368" s="350"/>
      <c r="AI368" s="350"/>
      <c r="AJ368" s="350"/>
      <c r="AK368" s="350"/>
    </row>
    <row r="369" spans="1:37" ht="30" customHeight="1" x14ac:dyDescent="0.2">
      <c r="A369" s="16"/>
      <c r="B369" s="16"/>
      <c r="C369" s="648"/>
      <c r="D369" s="642"/>
      <c r="E369" s="648"/>
      <c r="F369" s="648"/>
      <c r="G369" s="181">
        <v>17</v>
      </c>
      <c r="H369" s="52" t="s">
        <v>440</v>
      </c>
      <c r="I369" s="52"/>
      <c r="J369" s="52"/>
      <c r="K369" s="96"/>
      <c r="L369" s="96"/>
      <c r="M369" s="581"/>
      <c r="N369" s="136"/>
      <c r="O369" s="52"/>
      <c r="P369" s="52"/>
      <c r="Q369" s="231"/>
      <c r="R369" s="231"/>
      <c r="S369" s="231"/>
      <c r="T369" s="231"/>
      <c r="U369" s="231"/>
      <c r="V369" s="231"/>
      <c r="W369" s="231"/>
      <c r="X369" s="231"/>
      <c r="Y369" s="231"/>
      <c r="Z369" s="231"/>
      <c r="AA369" s="231"/>
      <c r="AB369" s="231"/>
      <c r="AC369" s="231"/>
      <c r="AD369" s="231"/>
      <c r="AE369" s="231"/>
      <c r="AF369" s="359"/>
      <c r="AG369" s="231"/>
      <c r="AH369" s="231"/>
      <c r="AI369" s="231"/>
      <c r="AJ369" s="231"/>
      <c r="AK369" s="233"/>
    </row>
    <row r="370" spans="1:37" ht="78.75" customHeight="1" x14ac:dyDescent="0.2">
      <c r="A370" s="16"/>
      <c r="B370" s="16"/>
      <c r="C370" s="649">
        <v>14</v>
      </c>
      <c r="D370" s="65" t="s">
        <v>438</v>
      </c>
      <c r="E370" s="249">
        <v>6.2E-2</v>
      </c>
      <c r="F370" s="249">
        <v>0.03</v>
      </c>
      <c r="G370" s="17"/>
      <c r="H370" s="673">
        <v>68</v>
      </c>
      <c r="I370" s="665" t="s">
        <v>441</v>
      </c>
      <c r="J370" s="132">
        <v>4357</v>
      </c>
      <c r="K370" s="19">
        <v>4500</v>
      </c>
      <c r="L370" s="743">
        <v>2017003630001</v>
      </c>
      <c r="M370" s="760" t="s">
        <v>432</v>
      </c>
      <c r="N370" s="731" t="s">
        <v>442</v>
      </c>
      <c r="O370" s="734" t="s">
        <v>891</v>
      </c>
      <c r="P370" s="673" t="s">
        <v>41</v>
      </c>
      <c r="Q370" s="346">
        <v>0</v>
      </c>
      <c r="R370" s="346">
        <v>0</v>
      </c>
      <c r="S370" s="346">
        <v>0</v>
      </c>
      <c r="T370" s="346">
        <v>0</v>
      </c>
      <c r="U370" s="346">
        <v>0</v>
      </c>
      <c r="V370" s="346">
        <v>0</v>
      </c>
      <c r="W370" s="346">
        <v>0</v>
      </c>
      <c r="X370" s="346"/>
      <c r="Y370" s="346"/>
      <c r="Z370" s="346">
        <v>0</v>
      </c>
      <c r="AA370" s="346">
        <v>0</v>
      </c>
      <c r="AB370" s="374"/>
      <c r="AC370" s="374"/>
      <c r="AD370" s="346">
        <v>0</v>
      </c>
      <c r="AE370" s="346">
        <v>0</v>
      </c>
      <c r="AF370" s="423">
        <v>7200000</v>
      </c>
      <c r="AG370" s="360"/>
      <c r="AH370" s="346">
        <v>0</v>
      </c>
      <c r="AI370" s="348"/>
      <c r="AJ370" s="348">
        <v>0</v>
      </c>
      <c r="AK370" s="346">
        <f t="shared" ref="AK370:AK375" si="89">Q370+R370+S370+T370+U370+V370+W370+X370+Y370+Z370+AA370+AB370+AC370+AD370+AE370+AF370+AG370+AH370+AI370+AJ370</f>
        <v>7200000</v>
      </c>
    </row>
    <row r="371" spans="1:37" ht="78.75" customHeight="1" x14ac:dyDescent="0.2">
      <c r="A371" s="16"/>
      <c r="B371" s="16"/>
      <c r="C371" s="663">
        <v>15</v>
      </c>
      <c r="D371" s="665" t="s">
        <v>430</v>
      </c>
      <c r="E371" s="227">
        <v>0.73229999999999995</v>
      </c>
      <c r="F371" s="227">
        <v>0.78</v>
      </c>
      <c r="G371" s="23"/>
      <c r="H371" s="673">
        <v>69</v>
      </c>
      <c r="I371" s="665" t="s">
        <v>443</v>
      </c>
      <c r="J371" s="227" t="s">
        <v>32</v>
      </c>
      <c r="K371" s="19">
        <v>1</v>
      </c>
      <c r="L371" s="744"/>
      <c r="M371" s="761"/>
      <c r="N371" s="732"/>
      <c r="O371" s="735"/>
      <c r="P371" s="673" t="s">
        <v>41</v>
      </c>
      <c r="Q371" s="346">
        <v>0</v>
      </c>
      <c r="R371" s="346">
        <v>0</v>
      </c>
      <c r="S371" s="346">
        <v>0</v>
      </c>
      <c r="T371" s="346">
        <v>0</v>
      </c>
      <c r="U371" s="346">
        <v>0</v>
      </c>
      <c r="V371" s="346">
        <v>0</v>
      </c>
      <c r="W371" s="346">
        <v>0</v>
      </c>
      <c r="X371" s="346"/>
      <c r="Y371" s="346"/>
      <c r="Z371" s="346">
        <v>0</v>
      </c>
      <c r="AA371" s="346">
        <v>0</v>
      </c>
      <c r="AB371" s="374"/>
      <c r="AC371" s="374"/>
      <c r="AD371" s="346">
        <v>0</v>
      </c>
      <c r="AE371" s="346">
        <v>0</v>
      </c>
      <c r="AF371" s="423">
        <v>7200000</v>
      </c>
      <c r="AG371" s="360"/>
      <c r="AH371" s="346">
        <v>0</v>
      </c>
      <c r="AI371" s="348"/>
      <c r="AJ371" s="348">
        <v>0</v>
      </c>
      <c r="AK371" s="346">
        <f t="shared" si="89"/>
        <v>7200000</v>
      </c>
    </row>
    <row r="372" spans="1:37" ht="78.75" customHeight="1" x14ac:dyDescent="0.2">
      <c r="A372" s="16"/>
      <c r="B372" s="16"/>
      <c r="C372" s="663">
        <v>19</v>
      </c>
      <c r="D372" s="665" t="s">
        <v>434</v>
      </c>
      <c r="E372" s="227" t="s">
        <v>444</v>
      </c>
      <c r="F372" s="227" t="s">
        <v>445</v>
      </c>
      <c r="G372" s="23"/>
      <c r="H372" s="673">
        <v>70</v>
      </c>
      <c r="I372" s="665" t="s">
        <v>446</v>
      </c>
      <c r="J372" s="132">
        <v>322</v>
      </c>
      <c r="K372" s="19">
        <v>469</v>
      </c>
      <c r="L372" s="744"/>
      <c r="M372" s="761"/>
      <c r="N372" s="732"/>
      <c r="O372" s="735"/>
      <c r="P372" s="673" t="s">
        <v>54</v>
      </c>
      <c r="Q372" s="346">
        <v>0</v>
      </c>
      <c r="R372" s="346">
        <v>0</v>
      </c>
      <c r="S372" s="346">
        <v>0</v>
      </c>
      <c r="T372" s="346">
        <v>0</v>
      </c>
      <c r="U372" s="346">
        <v>0</v>
      </c>
      <c r="V372" s="346">
        <v>0</v>
      </c>
      <c r="W372" s="346">
        <v>0</v>
      </c>
      <c r="X372" s="346"/>
      <c r="Y372" s="346"/>
      <c r="Z372" s="346">
        <v>0</v>
      </c>
      <c r="AA372" s="346">
        <v>0</v>
      </c>
      <c r="AB372" s="346"/>
      <c r="AC372" s="346"/>
      <c r="AD372" s="346">
        <v>0</v>
      </c>
      <c r="AE372" s="346">
        <v>0</v>
      </c>
      <c r="AF372" s="423">
        <v>14400000</v>
      </c>
      <c r="AG372" s="360"/>
      <c r="AH372" s="346">
        <v>0</v>
      </c>
      <c r="AI372" s="348"/>
      <c r="AJ372" s="348">
        <v>0</v>
      </c>
      <c r="AK372" s="346">
        <f t="shared" si="89"/>
        <v>14400000</v>
      </c>
    </row>
    <row r="373" spans="1:37" ht="78.75" customHeight="1" x14ac:dyDescent="0.2">
      <c r="A373" s="16"/>
      <c r="B373" s="16"/>
      <c r="C373" s="663">
        <v>35</v>
      </c>
      <c r="D373" s="111" t="s">
        <v>447</v>
      </c>
      <c r="E373" s="132">
        <v>23000</v>
      </c>
      <c r="F373" s="132">
        <v>24000</v>
      </c>
      <c r="G373" s="23"/>
      <c r="H373" s="673">
        <v>71</v>
      </c>
      <c r="I373" s="665" t="s">
        <v>448</v>
      </c>
      <c r="J373" s="132">
        <v>1762</v>
      </c>
      <c r="K373" s="19">
        <v>2469</v>
      </c>
      <c r="L373" s="744"/>
      <c r="M373" s="761"/>
      <c r="N373" s="732"/>
      <c r="O373" s="735"/>
      <c r="P373" s="673" t="s">
        <v>54</v>
      </c>
      <c r="Q373" s="346">
        <v>0</v>
      </c>
      <c r="R373" s="346">
        <v>0</v>
      </c>
      <c r="S373" s="346">
        <v>0</v>
      </c>
      <c r="T373" s="346">
        <v>0</v>
      </c>
      <c r="U373" s="346">
        <v>0</v>
      </c>
      <c r="V373" s="346">
        <v>0</v>
      </c>
      <c r="W373" s="346">
        <v>0</v>
      </c>
      <c r="X373" s="346"/>
      <c r="Y373" s="346"/>
      <c r="Z373" s="346">
        <v>0</v>
      </c>
      <c r="AA373" s="346">
        <v>0</v>
      </c>
      <c r="AB373" s="346"/>
      <c r="AC373" s="346"/>
      <c r="AD373" s="346">
        <v>0</v>
      </c>
      <c r="AE373" s="346">
        <v>0</v>
      </c>
      <c r="AF373" s="423"/>
      <c r="AG373" s="374"/>
      <c r="AH373" s="346">
        <v>0</v>
      </c>
      <c r="AI373" s="348"/>
      <c r="AJ373" s="348">
        <v>0</v>
      </c>
      <c r="AK373" s="346">
        <f t="shared" si="89"/>
        <v>0</v>
      </c>
    </row>
    <row r="374" spans="1:37" ht="78.75" customHeight="1" x14ac:dyDescent="0.2">
      <c r="A374" s="16"/>
      <c r="B374" s="16"/>
      <c r="C374" s="663"/>
      <c r="D374" s="111"/>
      <c r="E374" s="232"/>
      <c r="F374" s="232"/>
      <c r="G374" s="23"/>
      <c r="H374" s="673">
        <v>72</v>
      </c>
      <c r="I374" s="665" t="s">
        <v>449</v>
      </c>
      <c r="J374" s="132">
        <v>455</v>
      </c>
      <c r="K374" s="19">
        <v>455</v>
      </c>
      <c r="L374" s="744"/>
      <c r="M374" s="761"/>
      <c r="N374" s="732"/>
      <c r="O374" s="735"/>
      <c r="P374" s="673" t="s">
        <v>41</v>
      </c>
      <c r="Q374" s="346">
        <v>0</v>
      </c>
      <c r="R374" s="346">
        <v>0</v>
      </c>
      <c r="S374" s="346">
        <v>0</v>
      </c>
      <c r="T374" s="346">
        <v>0</v>
      </c>
      <c r="U374" s="346">
        <v>0</v>
      </c>
      <c r="V374" s="346">
        <v>0</v>
      </c>
      <c r="W374" s="346">
        <v>0</v>
      </c>
      <c r="X374" s="346"/>
      <c r="Y374" s="346"/>
      <c r="Z374" s="346">
        <v>0</v>
      </c>
      <c r="AA374" s="346">
        <v>0</v>
      </c>
      <c r="AB374" s="346"/>
      <c r="AC374" s="346"/>
      <c r="AD374" s="346">
        <v>0</v>
      </c>
      <c r="AE374" s="346">
        <v>0</v>
      </c>
      <c r="AF374" s="423">
        <v>7200000</v>
      </c>
      <c r="AG374" s="360"/>
      <c r="AH374" s="346">
        <v>0</v>
      </c>
      <c r="AI374" s="348"/>
      <c r="AJ374" s="348">
        <v>0</v>
      </c>
      <c r="AK374" s="346">
        <f t="shared" si="89"/>
        <v>7200000</v>
      </c>
    </row>
    <row r="375" spans="1:37" ht="78.75" customHeight="1" x14ac:dyDescent="0.2">
      <c r="A375" s="16"/>
      <c r="B375" s="16"/>
      <c r="C375" s="648"/>
      <c r="D375" s="17"/>
      <c r="E375" s="473"/>
      <c r="F375" s="668" t="s">
        <v>56</v>
      </c>
      <c r="G375" s="65"/>
      <c r="H375" s="673">
        <v>73</v>
      </c>
      <c r="I375" s="665" t="s">
        <v>450</v>
      </c>
      <c r="J375" s="132" t="s">
        <v>32</v>
      </c>
      <c r="K375" s="19">
        <v>1</v>
      </c>
      <c r="L375" s="745"/>
      <c r="M375" s="762"/>
      <c r="N375" s="733"/>
      <c r="O375" s="736"/>
      <c r="P375" s="673" t="s">
        <v>41</v>
      </c>
      <c r="Q375" s="346">
        <v>0</v>
      </c>
      <c r="R375" s="346">
        <v>0</v>
      </c>
      <c r="S375" s="346">
        <v>0</v>
      </c>
      <c r="T375" s="346">
        <v>0</v>
      </c>
      <c r="U375" s="346">
        <v>0</v>
      </c>
      <c r="V375" s="346">
        <v>0</v>
      </c>
      <c r="W375" s="346">
        <v>0</v>
      </c>
      <c r="X375" s="346"/>
      <c r="Y375" s="346"/>
      <c r="Z375" s="346">
        <v>0</v>
      </c>
      <c r="AA375" s="346">
        <v>0</v>
      </c>
      <c r="AB375" s="616">
        <f>1500000000-103368513</f>
        <v>1396631487</v>
      </c>
      <c r="AC375" s="420"/>
      <c r="AD375" s="346">
        <v>0</v>
      </c>
      <c r="AE375" s="346">
        <v>0</v>
      </c>
      <c r="AF375" s="423"/>
      <c r="AG375" s="360"/>
      <c r="AH375" s="346">
        <v>0</v>
      </c>
      <c r="AI375" s="348"/>
      <c r="AJ375" s="348">
        <v>0</v>
      </c>
      <c r="AK375" s="346">
        <f t="shared" si="89"/>
        <v>1396631487</v>
      </c>
    </row>
    <row r="376" spans="1:37" ht="30" customHeight="1" x14ac:dyDescent="0.2">
      <c r="A376" s="16"/>
      <c r="B376" s="16"/>
      <c r="C376" s="649"/>
      <c r="D376" s="644"/>
      <c r="E376" s="649"/>
      <c r="F376" s="649"/>
      <c r="G376" s="30"/>
      <c r="H376" s="31"/>
      <c r="I376" s="30"/>
      <c r="J376" s="154"/>
      <c r="K376" s="104"/>
      <c r="L376" s="104"/>
      <c r="M376" s="200"/>
      <c r="N376" s="31"/>
      <c r="O376" s="30"/>
      <c r="P376" s="31"/>
      <c r="Q376" s="355">
        <f t="shared" ref="Q376:AJ376" si="90">SUM(Q370:Q375)</f>
        <v>0</v>
      </c>
      <c r="R376" s="355">
        <f t="shared" si="90"/>
        <v>0</v>
      </c>
      <c r="S376" s="355">
        <f t="shared" si="90"/>
        <v>0</v>
      </c>
      <c r="T376" s="355">
        <f t="shared" si="90"/>
        <v>0</v>
      </c>
      <c r="U376" s="355">
        <f t="shared" si="90"/>
        <v>0</v>
      </c>
      <c r="V376" s="355">
        <f t="shared" si="90"/>
        <v>0</v>
      </c>
      <c r="W376" s="355">
        <f t="shared" si="90"/>
        <v>0</v>
      </c>
      <c r="X376" s="355">
        <f t="shared" si="90"/>
        <v>0</v>
      </c>
      <c r="Y376" s="355">
        <f t="shared" si="90"/>
        <v>0</v>
      </c>
      <c r="Z376" s="355">
        <f t="shared" si="90"/>
        <v>0</v>
      </c>
      <c r="AA376" s="355">
        <f t="shared" si="90"/>
        <v>0</v>
      </c>
      <c r="AB376" s="355">
        <f t="shared" si="90"/>
        <v>1396631487</v>
      </c>
      <c r="AC376" s="355">
        <f t="shared" si="90"/>
        <v>0</v>
      </c>
      <c r="AD376" s="355">
        <f t="shared" si="90"/>
        <v>0</v>
      </c>
      <c r="AE376" s="355">
        <f t="shared" si="90"/>
        <v>0</v>
      </c>
      <c r="AF376" s="355">
        <f>SUM(AF370:AF375)</f>
        <v>36000000</v>
      </c>
      <c r="AG376" s="355">
        <f t="shared" si="90"/>
        <v>0</v>
      </c>
      <c r="AH376" s="355">
        <f t="shared" si="90"/>
        <v>0</v>
      </c>
      <c r="AI376" s="355">
        <f t="shared" si="90"/>
        <v>0</v>
      </c>
      <c r="AJ376" s="355">
        <f t="shared" si="90"/>
        <v>0</v>
      </c>
      <c r="AK376" s="355">
        <f>SUM(AK370:AK375)</f>
        <v>1432631487</v>
      </c>
    </row>
    <row r="377" spans="1:37" ht="30" customHeight="1" x14ac:dyDescent="0.2">
      <c r="A377" s="16"/>
      <c r="B377" s="16"/>
      <c r="C377" s="116"/>
      <c r="D377" s="44"/>
      <c r="E377" s="228"/>
      <c r="F377" s="228"/>
      <c r="G377" s="44"/>
      <c r="H377" s="116"/>
      <c r="I377" s="44"/>
      <c r="J377" s="158"/>
      <c r="K377" s="117"/>
      <c r="L377" s="117"/>
      <c r="M377" s="593"/>
      <c r="N377" s="116"/>
      <c r="O377" s="44"/>
      <c r="P377" s="116"/>
      <c r="Q377" s="350"/>
      <c r="R377" s="351"/>
      <c r="S377" s="350"/>
      <c r="T377" s="350"/>
      <c r="U377" s="350"/>
      <c r="V377" s="350"/>
      <c r="W377" s="350"/>
      <c r="X377" s="350"/>
      <c r="Y377" s="350"/>
      <c r="Z377" s="350"/>
      <c r="AA377" s="350"/>
      <c r="AB377" s="351" t="s">
        <v>56</v>
      </c>
      <c r="AC377" s="351" t="s">
        <v>56</v>
      </c>
      <c r="AD377" s="350"/>
      <c r="AE377" s="350"/>
      <c r="AF377" s="693" t="s">
        <v>56</v>
      </c>
      <c r="AG377" s="350"/>
      <c r="AH377" s="350"/>
      <c r="AI377" s="350"/>
      <c r="AJ377" s="350"/>
      <c r="AK377" s="350"/>
    </row>
    <row r="378" spans="1:37" ht="30" customHeight="1" x14ac:dyDescent="0.2">
      <c r="A378" s="16"/>
      <c r="B378" s="16"/>
      <c r="C378" s="648"/>
      <c r="D378" s="642"/>
      <c r="E378" s="648"/>
      <c r="F378" s="648"/>
      <c r="G378" s="108">
        <v>18</v>
      </c>
      <c r="H378" s="135" t="s">
        <v>451</v>
      </c>
      <c r="I378" s="52"/>
      <c r="J378" s="52"/>
      <c r="K378" s="96"/>
      <c r="L378" s="96"/>
      <c r="M378" s="581"/>
      <c r="N378" s="136"/>
      <c r="O378" s="52"/>
      <c r="P378" s="52"/>
      <c r="Q378" s="231"/>
      <c r="R378" s="231"/>
      <c r="S378" s="231"/>
      <c r="T378" s="231"/>
      <c r="U378" s="231"/>
      <c r="V378" s="231"/>
      <c r="W378" s="231"/>
      <c r="X378" s="231"/>
      <c r="Y378" s="231"/>
      <c r="Z378" s="231"/>
      <c r="AA378" s="231"/>
      <c r="AB378" s="231"/>
      <c r="AC378" s="231"/>
      <c r="AD378" s="231"/>
      <c r="AE378" s="231"/>
      <c r="AF378" s="359"/>
      <c r="AG378" s="231"/>
      <c r="AH378" s="231"/>
      <c r="AI378" s="231"/>
      <c r="AJ378" s="231"/>
      <c r="AK378" s="233"/>
    </row>
    <row r="379" spans="1:37" ht="114" customHeight="1" x14ac:dyDescent="0.2">
      <c r="A379" s="16"/>
      <c r="B379" s="16"/>
      <c r="C379" s="638" t="s">
        <v>452</v>
      </c>
      <c r="D379" s="643" t="s">
        <v>453</v>
      </c>
      <c r="E379" s="651" t="s">
        <v>454</v>
      </c>
      <c r="F379" s="651" t="s">
        <v>455</v>
      </c>
      <c r="G379" s="17"/>
      <c r="H379" s="673">
        <v>74</v>
      </c>
      <c r="I379" s="665" t="s">
        <v>456</v>
      </c>
      <c r="J379" s="132">
        <v>2232</v>
      </c>
      <c r="K379" s="80">
        <v>2232</v>
      </c>
      <c r="L379" s="19">
        <v>2017003630083</v>
      </c>
      <c r="M379" s="594" t="s">
        <v>432</v>
      </c>
      <c r="N379" s="673" t="s">
        <v>457</v>
      </c>
      <c r="O379" s="665" t="s">
        <v>458</v>
      </c>
      <c r="P379" s="673" t="s">
        <v>41</v>
      </c>
      <c r="Q379" s="346">
        <v>0</v>
      </c>
      <c r="R379" s="346">
        <v>0</v>
      </c>
      <c r="S379" s="346">
        <v>0</v>
      </c>
      <c r="T379" s="346">
        <v>0</v>
      </c>
      <c r="U379" s="346">
        <v>0</v>
      </c>
      <c r="V379" s="346">
        <v>0</v>
      </c>
      <c r="W379" s="346">
        <v>0</v>
      </c>
      <c r="X379" s="346"/>
      <c r="Y379" s="346"/>
      <c r="Z379" s="346">
        <v>0</v>
      </c>
      <c r="AA379" s="346">
        <v>0</v>
      </c>
      <c r="AB379" s="616">
        <f>109931000000+3011938055+68294779+12066482925+14751506-25599406412</f>
        <v>99493060853</v>
      </c>
      <c r="AC379" s="538">
        <f>19000000000+815000000+66000000+6400000000-7695976297-147719601-881000000</f>
        <v>17556304102</v>
      </c>
      <c r="AD379" s="346">
        <v>0</v>
      </c>
      <c r="AE379" s="346">
        <v>0</v>
      </c>
      <c r="AF379" s="547">
        <v>15000000</v>
      </c>
      <c r="AG379" s="360"/>
      <c r="AH379" s="346">
        <v>0</v>
      </c>
      <c r="AI379" s="348"/>
      <c r="AJ379" s="348"/>
      <c r="AK379" s="346">
        <f>Q379+R379+S379+T379+U379+V379+W379+X379+Y379+Z379+AA379+AB379+AC379+AD379+AE379+AF379+AG379+AH379+AI379+AJ379</f>
        <v>117064364955</v>
      </c>
    </row>
    <row r="380" spans="1:37" ht="30" customHeight="1" x14ac:dyDescent="0.2">
      <c r="A380" s="16"/>
      <c r="B380" s="29"/>
      <c r="C380" s="649"/>
      <c r="D380" s="644"/>
      <c r="E380" s="649"/>
      <c r="F380" s="649"/>
      <c r="G380" s="30"/>
      <c r="H380" s="31"/>
      <c r="I380" s="30"/>
      <c r="J380" s="154"/>
      <c r="K380" s="185"/>
      <c r="L380" s="185"/>
      <c r="M380" s="200"/>
      <c r="N380" s="31"/>
      <c r="O380" s="31"/>
      <c r="P380" s="31"/>
      <c r="Q380" s="355">
        <f t="shared" ref="Q380:AK380" si="91">SUM(Q379:Q379)</f>
        <v>0</v>
      </c>
      <c r="R380" s="355">
        <f t="shared" si="91"/>
        <v>0</v>
      </c>
      <c r="S380" s="355">
        <f t="shared" si="91"/>
        <v>0</v>
      </c>
      <c r="T380" s="355">
        <f t="shared" si="91"/>
        <v>0</v>
      </c>
      <c r="U380" s="355">
        <f t="shared" si="91"/>
        <v>0</v>
      </c>
      <c r="V380" s="355">
        <f t="shared" si="91"/>
        <v>0</v>
      </c>
      <c r="W380" s="355">
        <f t="shared" si="91"/>
        <v>0</v>
      </c>
      <c r="X380" s="355">
        <f t="shared" si="91"/>
        <v>0</v>
      </c>
      <c r="Y380" s="355">
        <f t="shared" si="91"/>
        <v>0</v>
      </c>
      <c r="Z380" s="355">
        <f t="shared" si="91"/>
        <v>0</v>
      </c>
      <c r="AA380" s="355">
        <f t="shared" si="91"/>
        <v>0</v>
      </c>
      <c r="AB380" s="355">
        <f t="shared" si="91"/>
        <v>99493060853</v>
      </c>
      <c r="AC380" s="355">
        <f t="shared" si="91"/>
        <v>17556304102</v>
      </c>
      <c r="AD380" s="355">
        <f t="shared" si="91"/>
        <v>0</v>
      </c>
      <c r="AE380" s="355">
        <f t="shared" si="91"/>
        <v>0</v>
      </c>
      <c r="AF380" s="355">
        <f t="shared" si="91"/>
        <v>15000000</v>
      </c>
      <c r="AG380" s="355">
        <f t="shared" si="91"/>
        <v>0</v>
      </c>
      <c r="AH380" s="355">
        <f t="shared" si="91"/>
        <v>0</v>
      </c>
      <c r="AI380" s="355">
        <f t="shared" si="91"/>
        <v>0</v>
      </c>
      <c r="AJ380" s="355">
        <f t="shared" si="91"/>
        <v>0</v>
      </c>
      <c r="AK380" s="355">
        <f t="shared" si="91"/>
        <v>117064364955</v>
      </c>
    </row>
    <row r="381" spans="1:37" ht="30" customHeight="1" x14ac:dyDescent="0.2">
      <c r="A381" s="16"/>
      <c r="B381" s="68"/>
      <c r="C381" s="35"/>
      <c r="D381" s="34"/>
      <c r="E381" s="234"/>
      <c r="F381" s="234"/>
      <c r="G381" s="34"/>
      <c r="H381" s="35"/>
      <c r="I381" s="34"/>
      <c r="J381" s="170"/>
      <c r="K381" s="188"/>
      <c r="L381" s="188"/>
      <c r="M381" s="595"/>
      <c r="N381" s="35"/>
      <c r="O381" s="34"/>
      <c r="P381" s="35"/>
      <c r="Q381" s="361">
        <f t="shared" ref="Q381:AK381" si="92">Q380+Q376+Q367</f>
        <v>0</v>
      </c>
      <c r="R381" s="361">
        <f t="shared" si="92"/>
        <v>0</v>
      </c>
      <c r="S381" s="361">
        <f t="shared" si="92"/>
        <v>0</v>
      </c>
      <c r="T381" s="361">
        <f t="shared" si="92"/>
        <v>0</v>
      </c>
      <c r="U381" s="361">
        <f t="shared" si="92"/>
        <v>0</v>
      </c>
      <c r="V381" s="361">
        <f t="shared" si="92"/>
        <v>0</v>
      </c>
      <c r="W381" s="361">
        <f t="shared" si="92"/>
        <v>3198058291</v>
      </c>
      <c r="X381" s="361">
        <f t="shared" si="92"/>
        <v>0</v>
      </c>
      <c r="Y381" s="361">
        <f t="shared" si="92"/>
        <v>0</v>
      </c>
      <c r="Z381" s="361">
        <f t="shared" si="92"/>
        <v>0</v>
      </c>
      <c r="AA381" s="361">
        <f t="shared" si="92"/>
        <v>0</v>
      </c>
      <c r="AB381" s="361">
        <f t="shared" si="92"/>
        <v>100889692340</v>
      </c>
      <c r="AC381" s="361">
        <f t="shared" si="92"/>
        <v>17556304102</v>
      </c>
      <c r="AD381" s="361">
        <f t="shared" si="92"/>
        <v>8216499579.2399998</v>
      </c>
      <c r="AE381" s="361">
        <f t="shared" si="92"/>
        <v>0</v>
      </c>
      <c r="AF381" s="361">
        <f t="shared" si="92"/>
        <v>4399507621</v>
      </c>
      <c r="AG381" s="361">
        <f t="shared" si="92"/>
        <v>0</v>
      </c>
      <c r="AH381" s="361">
        <f t="shared" si="92"/>
        <v>79557</v>
      </c>
      <c r="AI381" s="361">
        <f t="shared" si="92"/>
        <v>0</v>
      </c>
      <c r="AJ381" s="361">
        <f t="shared" si="92"/>
        <v>541130170</v>
      </c>
      <c r="AK381" s="361">
        <f t="shared" si="92"/>
        <v>134801271660.24001</v>
      </c>
    </row>
    <row r="382" spans="1:37" ht="30" customHeight="1" x14ac:dyDescent="0.2">
      <c r="A382" s="16"/>
      <c r="B382" s="44"/>
      <c r="C382" s="116"/>
      <c r="D382" s="44"/>
      <c r="E382" s="228"/>
      <c r="F382" s="228"/>
      <c r="G382" s="44"/>
      <c r="H382" s="116"/>
      <c r="I382" s="44"/>
      <c r="J382" s="158"/>
      <c r="K382" s="186"/>
      <c r="L382" s="235"/>
      <c r="M382" s="592"/>
      <c r="N382" s="345"/>
      <c r="O382" s="74"/>
      <c r="P382" s="116"/>
      <c r="Q382" s="350"/>
      <c r="R382" s="350"/>
      <c r="S382" s="350"/>
      <c r="T382" s="350"/>
      <c r="U382" s="350"/>
      <c r="V382" s="350"/>
      <c r="W382" s="683"/>
      <c r="X382" s="350"/>
      <c r="Y382" s="350"/>
      <c r="Z382" s="350"/>
      <c r="AA382" s="350"/>
      <c r="AB382" s="351"/>
      <c r="AC382" s="351"/>
      <c r="AD382" s="350"/>
      <c r="AE382" s="350"/>
      <c r="AF382" s="685"/>
      <c r="AG382" s="683"/>
      <c r="AH382" s="350"/>
      <c r="AI382" s="350"/>
      <c r="AJ382" s="350"/>
      <c r="AK382" s="350"/>
    </row>
    <row r="383" spans="1:37" ht="30" customHeight="1" x14ac:dyDescent="0.2">
      <c r="A383" s="16"/>
      <c r="B383" s="93">
        <v>6</v>
      </c>
      <c r="C383" s="11" t="s">
        <v>459</v>
      </c>
      <c r="D383" s="12"/>
      <c r="E383" s="12"/>
      <c r="F383" s="12"/>
      <c r="G383" s="12"/>
      <c r="H383" s="13"/>
      <c r="I383" s="12"/>
      <c r="J383" s="12"/>
      <c r="K383" s="189"/>
      <c r="L383" s="189"/>
      <c r="M383" s="579"/>
      <c r="N383" s="13"/>
      <c r="O383" s="12"/>
      <c r="P383" s="12"/>
      <c r="Q383" s="357"/>
      <c r="R383" s="357"/>
      <c r="S383" s="357"/>
      <c r="T383" s="357"/>
      <c r="U383" s="357"/>
      <c r="V383" s="357"/>
      <c r="W383" s="357"/>
      <c r="X383" s="357"/>
      <c r="Y383" s="357"/>
      <c r="Z383" s="357"/>
      <c r="AA383" s="357"/>
      <c r="AB383" s="357"/>
      <c r="AC383" s="357"/>
      <c r="AD383" s="357"/>
      <c r="AE383" s="357"/>
      <c r="AF383" s="358"/>
      <c r="AG383" s="357"/>
      <c r="AH383" s="357"/>
      <c r="AI383" s="357"/>
      <c r="AJ383" s="357"/>
      <c r="AK383" s="362"/>
    </row>
    <row r="384" spans="1:37" ht="30" customHeight="1" x14ac:dyDescent="0.2">
      <c r="A384" s="16"/>
      <c r="B384" s="48"/>
      <c r="C384" s="648"/>
      <c r="D384" s="642"/>
      <c r="E384" s="648"/>
      <c r="F384" s="648"/>
      <c r="G384" s="236">
        <v>19</v>
      </c>
      <c r="H384" s="52" t="s">
        <v>460</v>
      </c>
      <c r="I384" s="52"/>
      <c r="J384" s="52"/>
      <c r="K384" s="184"/>
      <c r="L384" s="184"/>
      <c r="M384" s="584"/>
      <c r="N384" s="338"/>
      <c r="O384" s="52"/>
      <c r="P384" s="52"/>
      <c r="Q384" s="231"/>
      <c r="R384" s="231"/>
      <c r="S384" s="231"/>
      <c r="T384" s="231"/>
      <c r="U384" s="231"/>
      <c r="V384" s="231"/>
      <c r="W384" s="231"/>
      <c r="X384" s="231"/>
      <c r="Y384" s="231"/>
      <c r="Z384" s="231"/>
      <c r="AA384" s="231"/>
      <c r="AB384" s="231"/>
      <c r="AC384" s="231"/>
      <c r="AD384" s="231"/>
      <c r="AE384" s="231"/>
      <c r="AF384" s="359"/>
      <c r="AG384" s="231"/>
      <c r="AH384" s="231"/>
      <c r="AI384" s="231"/>
      <c r="AJ384" s="231"/>
      <c r="AK384" s="233"/>
    </row>
    <row r="385" spans="1:37" ht="73.5" customHeight="1" x14ac:dyDescent="0.2">
      <c r="A385" s="16"/>
      <c r="B385" s="167"/>
      <c r="C385" s="649"/>
      <c r="D385" s="644"/>
      <c r="E385" s="649"/>
      <c r="F385" s="649"/>
      <c r="G385" s="17"/>
      <c r="H385" s="673">
        <v>75</v>
      </c>
      <c r="I385" s="665" t="s">
        <v>461</v>
      </c>
      <c r="J385" s="132">
        <v>18</v>
      </c>
      <c r="K385" s="153">
        <v>28</v>
      </c>
      <c r="L385" s="766">
        <v>2017003630098</v>
      </c>
      <c r="M385" s="769" t="s">
        <v>432</v>
      </c>
      <c r="N385" s="770" t="s">
        <v>462</v>
      </c>
      <c r="O385" s="771" t="s">
        <v>892</v>
      </c>
      <c r="P385" s="673" t="s">
        <v>54</v>
      </c>
      <c r="Q385" s="346">
        <v>0</v>
      </c>
      <c r="R385" s="346">
        <v>0</v>
      </c>
      <c r="S385" s="346">
        <v>0</v>
      </c>
      <c r="T385" s="346">
        <v>0</v>
      </c>
      <c r="U385" s="346">
        <v>0</v>
      </c>
      <c r="V385" s="346">
        <v>0</v>
      </c>
      <c r="W385" s="374"/>
      <c r="X385" s="346"/>
      <c r="Y385" s="346"/>
      <c r="Z385" s="346">
        <v>0</v>
      </c>
      <c r="AA385" s="346">
        <v>0</v>
      </c>
      <c r="AB385" s="346"/>
      <c r="AC385" s="346"/>
      <c r="AD385" s="346">
        <v>0</v>
      </c>
      <c r="AE385" s="346">
        <v>0</v>
      </c>
      <c r="AF385" s="426"/>
      <c r="AG385" s="427"/>
      <c r="AH385" s="346">
        <v>0</v>
      </c>
      <c r="AI385" s="348"/>
      <c r="AJ385" s="348"/>
      <c r="AK385" s="346">
        <f t="shared" ref="AK385:AK392" si="93">Q385+R385+S385+T385+U385+V385+W385+X385+Y385+Z385+AA385+AB385+AC385+AD385+AE385+AF385+AG385+AH385+AI385+AJ385</f>
        <v>0</v>
      </c>
    </row>
    <row r="386" spans="1:37" ht="73.5" customHeight="1" x14ac:dyDescent="0.2">
      <c r="A386" s="16"/>
      <c r="B386" s="167"/>
      <c r="C386" s="638"/>
      <c r="D386" s="664"/>
      <c r="E386" s="238"/>
      <c r="F386" s="651"/>
      <c r="G386" s="23"/>
      <c r="H386" s="673">
        <v>76</v>
      </c>
      <c r="I386" s="665" t="s">
        <v>463</v>
      </c>
      <c r="J386" s="132">
        <v>0</v>
      </c>
      <c r="K386" s="153">
        <v>1050</v>
      </c>
      <c r="L386" s="767"/>
      <c r="M386" s="769"/>
      <c r="N386" s="770"/>
      <c r="O386" s="772"/>
      <c r="P386" s="673" t="s">
        <v>54</v>
      </c>
      <c r="Q386" s="346">
        <v>0</v>
      </c>
      <c r="R386" s="346">
        <v>0</v>
      </c>
      <c r="S386" s="346">
        <v>0</v>
      </c>
      <c r="T386" s="346">
        <v>0</v>
      </c>
      <c r="U386" s="346">
        <v>0</v>
      </c>
      <c r="V386" s="346">
        <v>0</v>
      </c>
      <c r="W386" s="420"/>
      <c r="X386" s="346"/>
      <c r="Y386" s="346"/>
      <c r="Z386" s="346">
        <v>0</v>
      </c>
      <c r="AA386" s="346">
        <v>0</v>
      </c>
      <c r="AB386" s="346"/>
      <c r="AC386" s="346"/>
      <c r="AD386" s="346">
        <v>0</v>
      </c>
      <c r="AE386" s="346">
        <v>0</v>
      </c>
      <c r="AF386" s="547">
        <f>30000000+150000000+64825000-12459655</f>
        <v>232365345</v>
      </c>
      <c r="AG386" s="360"/>
      <c r="AH386" s="346">
        <v>0</v>
      </c>
      <c r="AI386" s="348">
        <v>0</v>
      </c>
      <c r="AJ386" s="348"/>
      <c r="AK386" s="346">
        <f t="shared" si="93"/>
        <v>232365345</v>
      </c>
    </row>
    <row r="387" spans="1:37" ht="73.5" customHeight="1" x14ac:dyDescent="0.2">
      <c r="A387" s="16"/>
      <c r="B387" s="167"/>
      <c r="C387" s="638">
        <v>16</v>
      </c>
      <c r="D387" s="664" t="s">
        <v>464</v>
      </c>
      <c r="E387" s="655">
        <v>45</v>
      </c>
      <c r="F387" s="638">
        <v>90</v>
      </c>
      <c r="G387" s="23"/>
      <c r="H387" s="673">
        <v>77</v>
      </c>
      <c r="I387" s="665" t="s">
        <v>465</v>
      </c>
      <c r="J387" s="132">
        <v>20</v>
      </c>
      <c r="K387" s="153">
        <v>73</v>
      </c>
      <c r="L387" s="767"/>
      <c r="M387" s="769"/>
      <c r="N387" s="770"/>
      <c r="O387" s="772"/>
      <c r="P387" s="673" t="s">
        <v>54</v>
      </c>
      <c r="Q387" s="346">
        <v>0</v>
      </c>
      <c r="R387" s="346">
        <v>0</v>
      </c>
      <c r="S387" s="346">
        <v>0</v>
      </c>
      <c r="T387" s="346">
        <v>0</v>
      </c>
      <c r="U387" s="346">
        <v>0</v>
      </c>
      <c r="V387" s="346">
        <v>0</v>
      </c>
      <c r="W387" s="346">
        <v>0</v>
      </c>
      <c r="X387" s="346"/>
      <c r="Y387" s="346"/>
      <c r="Z387" s="346">
        <v>0</v>
      </c>
      <c r="AA387" s="346">
        <v>0</v>
      </c>
      <c r="AB387" s="346"/>
      <c r="AC387" s="346"/>
      <c r="AD387" s="346">
        <v>0</v>
      </c>
      <c r="AE387" s="346">
        <v>0</v>
      </c>
      <c r="AF387" s="547">
        <v>0</v>
      </c>
      <c r="AG387" s="360"/>
      <c r="AH387" s="346">
        <v>0</v>
      </c>
      <c r="AI387" s="348"/>
      <c r="AJ387" s="348"/>
      <c r="AK387" s="346">
        <f t="shared" si="93"/>
        <v>0</v>
      </c>
    </row>
    <row r="388" spans="1:37" ht="73.5" customHeight="1" x14ac:dyDescent="0.2">
      <c r="A388" s="16"/>
      <c r="B388" s="167"/>
      <c r="C388" s="638"/>
      <c r="D388" s="664"/>
      <c r="E388" s="238"/>
      <c r="F388" s="651"/>
      <c r="G388" s="23"/>
      <c r="H388" s="673">
        <v>78</v>
      </c>
      <c r="I388" s="665" t="s">
        <v>466</v>
      </c>
      <c r="J388" s="132">
        <v>7</v>
      </c>
      <c r="K388" s="153">
        <v>14</v>
      </c>
      <c r="L388" s="767"/>
      <c r="M388" s="769"/>
      <c r="N388" s="770"/>
      <c r="O388" s="772"/>
      <c r="P388" s="673" t="s">
        <v>54</v>
      </c>
      <c r="Q388" s="346">
        <v>0</v>
      </c>
      <c r="R388" s="346">
        <v>0</v>
      </c>
      <c r="S388" s="346">
        <v>0</v>
      </c>
      <c r="T388" s="346">
        <v>0</v>
      </c>
      <c r="U388" s="346">
        <v>0</v>
      </c>
      <c r="V388" s="346">
        <v>0</v>
      </c>
      <c r="W388" s="346">
        <v>0</v>
      </c>
      <c r="X388" s="346"/>
      <c r="Y388" s="346"/>
      <c r="Z388" s="346">
        <v>0</v>
      </c>
      <c r="AA388" s="346">
        <v>0</v>
      </c>
      <c r="AB388" s="346"/>
      <c r="AC388" s="346"/>
      <c r="AD388" s="346">
        <v>0</v>
      </c>
      <c r="AE388" s="346">
        <v>0</v>
      </c>
      <c r="AF388" s="547">
        <v>0</v>
      </c>
      <c r="AG388" s="360"/>
      <c r="AH388" s="346">
        <v>0</v>
      </c>
      <c r="AI388" s="348"/>
      <c r="AJ388" s="348"/>
      <c r="AK388" s="346">
        <f t="shared" si="93"/>
        <v>0</v>
      </c>
    </row>
    <row r="389" spans="1:37" ht="73.5" customHeight="1" x14ac:dyDescent="0.2">
      <c r="A389" s="16"/>
      <c r="B389" s="167"/>
      <c r="C389" s="638">
        <v>17</v>
      </c>
      <c r="D389" s="664" t="s">
        <v>467</v>
      </c>
      <c r="E389" s="238">
        <v>0.63270000000000004</v>
      </c>
      <c r="F389" s="647">
        <v>0.5</v>
      </c>
      <c r="G389" s="23"/>
      <c r="H389" s="673">
        <v>79</v>
      </c>
      <c r="I389" s="665" t="s">
        <v>468</v>
      </c>
      <c r="J389" s="132">
        <v>96</v>
      </c>
      <c r="K389" s="153">
        <v>213</v>
      </c>
      <c r="L389" s="767"/>
      <c r="M389" s="769"/>
      <c r="N389" s="770"/>
      <c r="O389" s="772"/>
      <c r="P389" s="673" t="s">
        <v>54</v>
      </c>
      <c r="Q389" s="346">
        <v>0</v>
      </c>
      <c r="R389" s="346">
        <v>0</v>
      </c>
      <c r="S389" s="346">
        <v>0</v>
      </c>
      <c r="T389" s="346">
        <v>0</v>
      </c>
      <c r="U389" s="346">
        <v>0</v>
      </c>
      <c r="V389" s="346">
        <v>0</v>
      </c>
      <c r="W389" s="346">
        <v>0</v>
      </c>
      <c r="X389" s="346"/>
      <c r="Y389" s="346"/>
      <c r="Z389" s="346">
        <v>0</v>
      </c>
      <c r="AA389" s="346">
        <v>0</v>
      </c>
      <c r="AB389" s="346"/>
      <c r="AC389" s="346"/>
      <c r="AD389" s="346">
        <v>0</v>
      </c>
      <c r="AE389" s="346">
        <v>0</v>
      </c>
      <c r="AF389" s="617">
        <v>15800000</v>
      </c>
      <c r="AG389" s="360"/>
      <c r="AH389" s="346">
        <v>0</v>
      </c>
      <c r="AI389" s="348"/>
      <c r="AJ389" s="348"/>
      <c r="AK389" s="346">
        <f t="shared" si="93"/>
        <v>15800000</v>
      </c>
    </row>
    <row r="390" spans="1:37" ht="73.5" customHeight="1" x14ac:dyDescent="0.2">
      <c r="A390" s="16"/>
      <c r="B390" s="167"/>
      <c r="C390" s="638"/>
      <c r="D390" s="664"/>
      <c r="E390" s="238"/>
      <c r="F390" s="651"/>
      <c r="G390" s="23"/>
      <c r="H390" s="673">
        <v>80</v>
      </c>
      <c r="I390" s="665" t="s">
        <v>469</v>
      </c>
      <c r="J390" s="132">
        <v>2906</v>
      </c>
      <c r="K390" s="153">
        <v>4476</v>
      </c>
      <c r="L390" s="767"/>
      <c r="M390" s="769"/>
      <c r="N390" s="770"/>
      <c r="O390" s="772"/>
      <c r="P390" s="673" t="s">
        <v>54</v>
      </c>
      <c r="Q390" s="346">
        <v>0</v>
      </c>
      <c r="R390" s="346">
        <v>0</v>
      </c>
      <c r="S390" s="346">
        <v>0</v>
      </c>
      <c r="T390" s="346">
        <v>0</v>
      </c>
      <c r="U390" s="346">
        <v>0</v>
      </c>
      <c r="V390" s="346">
        <v>0</v>
      </c>
      <c r="W390" s="346">
        <v>0</v>
      </c>
      <c r="X390" s="346"/>
      <c r="Y390" s="346"/>
      <c r="Z390" s="346">
        <v>0</v>
      </c>
      <c r="AA390" s="346">
        <v>0</v>
      </c>
      <c r="AB390" s="346"/>
      <c r="AC390" s="346"/>
      <c r="AD390" s="346">
        <v>0</v>
      </c>
      <c r="AE390" s="346">
        <v>0</v>
      </c>
      <c r="AF390" s="347">
        <v>0</v>
      </c>
      <c r="AG390" s="360"/>
      <c r="AH390" s="346">
        <v>0</v>
      </c>
      <c r="AI390" s="348"/>
      <c r="AJ390" s="348"/>
      <c r="AK390" s="346">
        <f t="shared" si="93"/>
        <v>0</v>
      </c>
    </row>
    <row r="391" spans="1:37" ht="73.5" customHeight="1" x14ac:dyDescent="0.2">
      <c r="A391" s="16"/>
      <c r="B391" s="167"/>
      <c r="C391" s="638"/>
      <c r="D391" s="643" t="s">
        <v>56</v>
      </c>
      <c r="E391" s="238"/>
      <c r="F391" s="651"/>
      <c r="G391" s="23"/>
      <c r="H391" s="673">
        <v>81</v>
      </c>
      <c r="I391" s="665" t="s">
        <v>470</v>
      </c>
      <c r="J391" s="18">
        <v>13</v>
      </c>
      <c r="K391" s="153">
        <v>32</v>
      </c>
      <c r="L391" s="767"/>
      <c r="M391" s="769"/>
      <c r="N391" s="770"/>
      <c r="O391" s="772"/>
      <c r="P391" s="673" t="s">
        <v>54</v>
      </c>
      <c r="Q391" s="346">
        <v>0</v>
      </c>
      <c r="R391" s="346">
        <v>0</v>
      </c>
      <c r="S391" s="346">
        <v>0</v>
      </c>
      <c r="T391" s="346">
        <v>0</v>
      </c>
      <c r="U391" s="346">
        <v>0</v>
      </c>
      <c r="V391" s="346">
        <v>0</v>
      </c>
      <c r="W391" s="346">
        <v>0</v>
      </c>
      <c r="X391" s="346"/>
      <c r="Y391" s="346"/>
      <c r="Z391" s="346">
        <v>0</v>
      </c>
      <c r="AA391" s="346">
        <v>0</v>
      </c>
      <c r="AB391" s="346"/>
      <c r="AC391" s="346"/>
      <c r="AD391" s="346">
        <v>0</v>
      </c>
      <c r="AE391" s="346">
        <v>0</v>
      </c>
      <c r="AF391" s="347">
        <v>0</v>
      </c>
      <c r="AG391" s="360"/>
      <c r="AH391" s="346">
        <v>0</v>
      </c>
      <c r="AI391" s="348"/>
      <c r="AJ391" s="348"/>
      <c r="AK391" s="346">
        <f t="shared" si="93"/>
        <v>0</v>
      </c>
    </row>
    <row r="392" spans="1:37" ht="73.5" customHeight="1" x14ac:dyDescent="0.2">
      <c r="A392" s="16"/>
      <c r="B392" s="167"/>
      <c r="C392" s="638"/>
      <c r="D392" s="643" t="s">
        <v>56</v>
      </c>
      <c r="E392" s="651"/>
      <c r="F392" s="651"/>
      <c r="G392" s="65"/>
      <c r="H392" s="673">
        <v>82</v>
      </c>
      <c r="I392" s="665" t="s">
        <v>471</v>
      </c>
      <c r="J392" s="18">
        <v>14</v>
      </c>
      <c r="K392" s="153">
        <v>32</v>
      </c>
      <c r="L392" s="768"/>
      <c r="M392" s="769"/>
      <c r="N392" s="770"/>
      <c r="O392" s="773"/>
      <c r="P392" s="673" t="s">
        <v>54</v>
      </c>
      <c r="Q392" s="346">
        <v>0</v>
      </c>
      <c r="R392" s="346">
        <v>0</v>
      </c>
      <c r="S392" s="346">
        <v>0</v>
      </c>
      <c r="T392" s="346">
        <v>0</v>
      </c>
      <c r="U392" s="346">
        <v>0</v>
      </c>
      <c r="V392" s="346">
        <v>0</v>
      </c>
      <c r="W392" s="346">
        <v>0</v>
      </c>
      <c r="X392" s="346"/>
      <c r="Y392" s="346"/>
      <c r="Z392" s="346">
        <v>0</v>
      </c>
      <c r="AA392" s="346">
        <v>0</v>
      </c>
      <c r="AB392" s="346"/>
      <c r="AC392" s="346"/>
      <c r="AD392" s="346">
        <v>0</v>
      </c>
      <c r="AE392" s="346">
        <v>0</v>
      </c>
      <c r="AF392" s="347">
        <v>0</v>
      </c>
      <c r="AG392" s="360"/>
      <c r="AH392" s="346">
        <v>0</v>
      </c>
      <c r="AI392" s="348"/>
      <c r="AJ392" s="348"/>
      <c r="AK392" s="346">
        <f t="shared" si="93"/>
        <v>0</v>
      </c>
    </row>
    <row r="393" spans="1:37" ht="30" customHeight="1" x14ac:dyDescent="0.2">
      <c r="A393" s="16"/>
      <c r="B393" s="167"/>
      <c r="C393" s="638"/>
      <c r="D393" s="643"/>
      <c r="E393" s="638"/>
      <c r="F393" s="638"/>
      <c r="G393" s="239"/>
      <c r="H393" s="31"/>
      <c r="I393" s="30"/>
      <c r="J393" s="32"/>
      <c r="K393" s="159"/>
      <c r="L393" s="159"/>
      <c r="M393" s="515"/>
      <c r="N393" s="129"/>
      <c r="O393" s="30"/>
      <c r="P393" s="31"/>
      <c r="Q393" s="355">
        <f t="shared" ref="Q393:AK393" si="94">SUM(Q385:Q392)</f>
        <v>0</v>
      </c>
      <c r="R393" s="355">
        <f t="shared" si="94"/>
        <v>0</v>
      </c>
      <c r="S393" s="355">
        <f t="shared" si="94"/>
        <v>0</v>
      </c>
      <c r="T393" s="355">
        <f t="shared" si="94"/>
        <v>0</v>
      </c>
      <c r="U393" s="355">
        <f t="shared" si="94"/>
        <v>0</v>
      </c>
      <c r="V393" s="355">
        <f t="shared" si="94"/>
        <v>0</v>
      </c>
      <c r="W393" s="355">
        <f t="shared" si="94"/>
        <v>0</v>
      </c>
      <c r="X393" s="355">
        <f t="shared" si="94"/>
        <v>0</v>
      </c>
      <c r="Y393" s="355">
        <f t="shared" si="94"/>
        <v>0</v>
      </c>
      <c r="Z393" s="355">
        <f t="shared" si="94"/>
        <v>0</v>
      </c>
      <c r="AA393" s="355">
        <f t="shared" si="94"/>
        <v>0</v>
      </c>
      <c r="AB393" s="355">
        <f t="shared" si="94"/>
        <v>0</v>
      </c>
      <c r="AC393" s="355">
        <f t="shared" si="94"/>
        <v>0</v>
      </c>
      <c r="AD393" s="355">
        <f t="shared" si="94"/>
        <v>0</v>
      </c>
      <c r="AE393" s="355">
        <f t="shared" si="94"/>
        <v>0</v>
      </c>
      <c r="AF393" s="355">
        <f t="shared" si="94"/>
        <v>248165345</v>
      </c>
      <c r="AG393" s="355">
        <f t="shared" si="94"/>
        <v>0</v>
      </c>
      <c r="AH393" s="355">
        <f t="shared" si="94"/>
        <v>0</v>
      </c>
      <c r="AI393" s="355">
        <f t="shared" si="94"/>
        <v>0</v>
      </c>
      <c r="AJ393" s="355">
        <f t="shared" si="94"/>
        <v>0</v>
      </c>
      <c r="AK393" s="355">
        <f t="shared" si="94"/>
        <v>248165345</v>
      </c>
    </row>
    <row r="394" spans="1:37" ht="30" customHeight="1" x14ac:dyDescent="0.2">
      <c r="A394" s="16"/>
      <c r="B394" s="16"/>
      <c r="C394" s="105"/>
      <c r="D394" s="44"/>
      <c r="E394" s="228"/>
      <c r="F394" s="228"/>
      <c r="G394" s="44"/>
      <c r="H394" s="116"/>
      <c r="I394" s="44"/>
      <c r="J394" s="45"/>
      <c r="K394" s="240"/>
      <c r="L394" s="241"/>
      <c r="M394" s="585"/>
      <c r="N394" s="345"/>
      <c r="O394" s="74"/>
      <c r="P394" s="116"/>
      <c r="Q394" s="350"/>
      <c r="R394" s="350"/>
      <c r="S394" s="350"/>
      <c r="T394" s="350"/>
      <c r="U394" s="350"/>
      <c r="V394" s="350"/>
      <c r="W394" s="350"/>
      <c r="X394" s="350"/>
      <c r="Y394" s="350"/>
      <c r="Z394" s="350"/>
      <c r="AA394" s="350"/>
      <c r="AB394" s="350"/>
      <c r="AC394" s="350"/>
      <c r="AD394" s="350"/>
      <c r="AE394" s="350"/>
      <c r="AF394" s="352"/>
      <c r="AG394" s="350"/>
      <c r="AH394" s="350"/>
      <c r="AI394" s="350"/>
      <c r="AJ394" s="350"/>
      <c r="AK394" s="354"/>
    </row>
    <row r="395" spans="1:37" ht="30" customHeight="1" x14ac:dyDescent="0.2">
      <c r="A395" s="16"/>
      <c r="B395" s="16"/>
      <c r="C395" s="105"/>
      <c r="D395" s="44"/>
      <c r="E395" s="116"/>
      <c r="F395" s="663"/>
      <c r="G395" s="126">
        <v>20</v>
      </c>
      <c r="H395" s="135" t="s">
        <v>472</v>
      </c>
      <c r="I395" s="52"/>
      <c r="J395" s="52"/>
      <c r="K395" s="184"/>
      <c r="L395" s="184"/>
      <c r="M395" s="581"/>
      <c r="N395" s="136"/>
      <c r="O395" s="52"/>
      <c r="P395" s="52"/>
      <c r="Q395" s="231"/>
      <c r="R395" s="231"/>
      <c r="S395" s="231"/>
      <c r="T395" s="231"/>
      <c r="U395" s="231"/>
      <c r="V395" s="231"/>
      <c r="W395" s="231"/>
      <c r="X395" s="231"/>
      <c r="Y395" s="231"/>
      <c r="Z395" s="231"/>
      <c r="AA395" s="231"/>
      <c r="AB395" s="231"/>
      <c r="AC395" s="231"/>
      <c r="AD395" s="231"/>
      <c r="AE395" s="231"/>
      <c r="AF395" s="359"/>
      <c r="AG395" s="231"/>
      <c r="AH395" s="231"/>
      <c r="AI395" s="231"/>
      <c r="AJ395" s="231"/>
      <c r="AK395" s="233"/>
    </row>
    <row r="396" spans="1:37" ht="63.75" customHeight="1" x14ac:dyDescent="0.2">
      <c r="A396" s="16"/>
      <c r="B396" s="167"/>
      <c r="C396" s="331"/>
      <c r="D396" s="332"/>
      <c r="E396" s="332"/>
      <c r="F396" s="332"/>
      <c r="G396" s="128"/>
      <c r="H396" s="673">
        <v>83</v>
      </c>
      <c r="I396" s="665" t="s">
        <v>473</v>
      </c>
      <c r="J396" s="132">
        <v>0</v>
      </c>
      <c r="K396" s="153">
        <v>47</v>
      </c>
      <c r="L396" s="743">
        <v>2017003630099</v>
      </c>
      <c r="M396" s="763" t="s">
        <v>432</v>
      </c>
      <c r="N396" s="731" t="s">
        <v>474</v>
      </c>
      <c r="O396" s="734" t="s">
        <v>893</v>
      </c>
      <c r="P396" s="673" t="s">
        <v>54</v>
      </c>
      <c r="Q396" s="346">
        <v>0</v>
      </c>
      <c r="R396" s="346">
        <v>0</v>
      </c>
      <c r="S396" s="346">
        <v>0</v>
      </c>
      <c r="T396" s="346">
        <v>0</v>
      </c>
      <c r="U396" s="346">
        <v>0</v>
      </c>
      <c r="V396" s="346">
        <v>0</v>
      </c>
      <c r="W396" s="346">
        <v>0</v>
      </c>
      <c r="X396" s="346"/>
      <c r="Y396" s="346"/>
      <c r="Z396" s="346">
        <v>0</v>
      </c>
      <c r="AA396" s="346">
        <v>0</v>
      </c>
      <c r="AB396" s="346"/>
      <c r="AC396" s="346"/>
      <c r="AD396" s="346">
        <v>0</v>
      </c>
      <c r="AE396" s="346">
        <v>0</v>
      </c>
      <c r="AF396" s="347">
        <f>0+80000000+32100000</f>
        <v>112100000</v>
      </c>
      <c r="AG396" s="360"/>
      <c r="AH396" s="346">
        <v>0</v>
      </c>
      <c r="AI396" s="348"/>
      <c r="AJ396" s="348"/>
      <c r="AK396" s="346">
        <f t="shared" ref="AK396:AK405" si="95">Q396+R396+S396+T396+U396+V396+W396+X396+Y396+Z396+AA396+AB396+AC396+AD396+AE396+AF396+AG396+AH396+AI396+AJ396</f>
        <v>112100000</v>
      </c>
    </row>
    <row r="397" spans="1:37" ht="63.75" customHeight="1" x14ac:dyDescent="0.2">
      <c r="A397" s="16"/>
      <c r="B397" s="167"/>
      <c r="C397" s="331"/>
      <c r="D397" s="332"/>
      <c r="E397" s="332"/>
      <c r="F397" s="332"/>
      <c r="G397" s="25"/>
      <c r="H397" s="673">
        <v>84</v>
      </c>
      <c r="I397" s="665" t="s">
        <v>475</v>
      </c>
      <c r="J397" s="132">
        <v>0</v>
      </c>
      <c r="K397" s="153">
        <v>26</v>
      </c>
      <c r="L397" s="744"/>
      <c r="M397" s="764"/>
      <c r="N397" s="732"/>
      <c r="O397" s="735"/>
      <c r="P397" s="673" t="s">
        <v>54</v>
      </c>
      <c r="Q397" s="346">
        <v>0</v>
      </c>
      <c r="R397" s="346">
        <v>0</v>
      </c>
      <c r="S397" s="346">
        <v>0</v>
      </c>
      <c r="T397" s="346">
        <v>0</v>
      </c>
      <c r="U397" s="346">
        <v>0</v>
      </c>
      <c r="V397" s="346">
        <v>0</v>
      </c>
      <c r="W397" s="346">
        <v>0</v>
      </c>
      <c r="X397" s="346"/>
      <c r="Y397" s="346"/>
      <c r="Z397" s="346">
        <v>0</v>
      </c>
      <c r="AA397" s="346">
        <v>0</v>
      </c>
      <c r="AB397" s="346"/>
      <c r="AC397" s="346"/>
      <c r="AD397" s="346">
        <v>0</v>
      </c>
      <c r="AE397" s="346">
        <v>0</v>
      </c>
      <c r="AF397" s="347"/>
      <c r="AG397" s="360"/>
      <c r="AH397" s="346">
        <v>0</v>
      </c>
      <c r="AI397" s="348"/>
      <c r="AJ397" s="348"/>
      <c r="AK397" s="346">
        <f t="shared" si="95"/>
        <v>0</v>
      </c>
    </row>
    <row r="398" spans="1:37" ht="63.75" customHeight="1" x14ac:dyDescent="0.2">
      <c r="A398" s="16"/>
      <c r="B398" s="167"/>
      <c r="C398" s="331"/>
      <c r="D398" s="332"/>
      <c r="E398" s="332"/>
      <c r="F398" s="332"/>
      <c r="G398" s="25"/>
      <c r="H398" s="673">
        <v>85</v>
      </c>
      <c r="I398" s="665" t="s">
        <v>476</v>
      </c>
      <c r="J398" s="132">
        <v>0</v>
      </c>
      <c r="K398" s="153">
        <v>26</v>
      </c>
      <c r="L398" s="744"/>
      <c r="M398" s="764"/>
      <c r="N398" s="732"/>
      <c r="O398" s="735"/>
      <c r="P398" s="673" t="s">
        <v>54</v>
      </c>
      <c r="Q398" s="346">
        <v>0</v>
      </c>
      <c r="R398" s="346">
        <v>0</v>
      </c>
      <c r="S398" s="346">
        <v>0</v>
      </c>
      <c r="T398" s="346">
        <v>0</v>
      </c>
      <c r="U398" s="346">
        <v>0</v>
      </c>
      <c r="V398" s="346">
        <v>0</v>
      </c>
      <c r="W398" s="346">
        <v>0</v>
      </c>
      <c r="X398" s="346"/>
      <c r="Y398" s="346"/>
      <c r="Z398" s="346">
        <v>0</v>
      </c>
      <c r="AA398" s="346">
        <v>0</v>
      </c>
      <c r="AB398" s="346"/>
      <c r="AC398" s="346"/>
      <c r="AD398" s="346">
        <v>0</v>
      </c>
      <c r="AE398" s="346">
        <v>0</v>
      </c>
      <c r="AF398" s="547">
        <f>16050000-16050000</f>
        <v>0</v>
      </c>
      <c r="AG398" s="360"/>
      <c r="AH398" s="346">
        <v>0</v>
      </c>
      <c r="AI398" s="348"/>
      <c r="AJ398" s="348"/>
      <c r="AK398" s="346">
        <f t="shared" si="95"/>
        <v>0</v>
      </c>
    </row>
    <row r="399" spans="1:37" ht="63.75" customHeight="1" x14ac:dyDescent="0.2">
      <c r="A399" s="16"/>
      <c r="B399" s="167"/>
      <c r="C399" s="638">
        <v>14</v>
      </c>
      <c r="D399" s="23" t="s">
        <v>438</v>
      </c>
      <c r="E399" s="651">
        <v>6.2E-2</v>
      </c>
      <c r="F399" s="651">
        <v>0.03</v>
      </c>
      <c r="G399" s="25"/>
      <c r="H399" s="673">
        <v>87</v>
      </c>
      <c r="I399" s="665" t="s">
        <v>477</v>
      </c>
      <c r="J399" s="132">
        <v>0</v>
      </c>
      <c r="K399" s="153">
        <v>30</v>
      </c>
      <c r="L399" s="744"/>
      <c r="M399" s="764"/>
      <c r="N399" s="732"/>
      <c r="O399" s="735"/>
      <c r="P399" s="673" t="s">
        <v>41</v>
      </c>
      <c r="Q399" s="346">
        <v>0</v>
      </c>
      <c r="R399" s="346">
        <v>0</v>
      </c>
      <c r="S399" s="346">
        <v>0</v>
      </c>
      <c r="T399" s="346">
        <v>0</v>
      </c>
      <c r="U399" s="346">
        <v>0</v>
      </c>
      <c r="V399" s="346">
        <v>0</v>
      </c>
      <c r="W399" s="346">
        <v>0</v>
      </c>
      <c r="X399" s="346"/>
      <c r="Y399" s="346"/>
      <c r="Z399" s="346">
        <v>0</v>
      </c>
      <c r="AA399" s="346">
        <v>0</v>
      </c>
      <c r="AB399" s="346">
        <v>0</v>
      </c>
      <c r="AC399" s="346"/>
      <c r="AD399" s="346">
        <v>0</v>
      </c>
      <c r="AE399" s="346">
        <v>0</v>
      </c>
      <c r="AF399" s="615">
        <f>20000000+30000000</f>
        <v>50000000</v>
      </c>
      <c r="AG399" s="360"/>
      <c r="AH399" s="346">
        <v>0</v>
      </c>
      <c r="AI399" s="348"/>
      <c r="AJ399" s="348"/>
      <c r="AK399" s="346">
        <f t="shared" si="95"/>
        <v>50000000</v>
      </c>
    </row>
    <row r="400" spans="1:37" ht="63.75" customHeight="1" x14ac:dyDescent="0.2">
      <c r="A400" s="16"/>
      <c r="B400" s="167"/>
      <c r="C400" s="638">
        <v>15</v>
      </c>
      <c r="D400" s="643" t="s">
        <v>430</v>
      </c>
      <c r="E400" s="651">
        <v>0.73229999999999995</v>
      </c>
      <c r="F400" s="651">
        <v>0.78</v>
      </c>
      <c r="G400" s="25"/>
      <c r="H400" s="673">
        <v>88</v>
      </c>
      <c r="I400" s="665" t="s">
        <v>478</v>
      </c>
      <c r="J400" s="132">
        <v>21</v>
      </c>
      <c r="K400" s="153">
        <v>34</v>
      </c>
      <c r="L400" s="744"/>
      <c r="M400" s="764"/>
      <c r="N400" s="732"/>
      <c r="O400" s="735"/>
      <c r="P400" s="673" t="s">
        <v>54</v>
      </c>
      <c r="Q400" s="346">
        <v>0</v>
      </c>
      <c r="R400" s="346">
        <v>0</v>
      </c>
      <c r="S400" s="346">
        <v>0</v>
      </c>
      <c r="T400" s="346">
        <v>0</v>
      </c>
      <c r="U400" s="346">
        <v>0</v>
      </c>
      <c r="V400" s="346">
        <v>0</v>
      </c>
      <c r="W400" s="346">
        <v>0</v>
      </c>
      <c r="X400" s="346"/>
      <c r="Y400" s="346"/>
      <c r="Z400" s="346">
        <v>0</v>
      </c>
      <c r="AA400" s="346">
        <v>0</v>
      </c>
      <c r="AB400" s="346"/>
      <c r="AC400" s="346"/>
      <c r="AD400" s="346">
        <v>0</v>
      </c>
      <c r="AE400" s="346">
        <v>0</v>
      </c>
      <c r="AF400" s="547">
        <f>53000000+16050000</f>
        <v>69050000</v>
      </c>
      <c r="AG400" s="360"/>
      <c r="AH400" s="346">
        <v>0</v>
      </c>
      <c r="AI400" s="348"/>
      <c r="AJ400" s="348"/>
      <c r="AK400" s="346">
        <f t="shared" si="95"/>
        <v>69050000</v>
      </c>
    </row>
    <row r="401" spans="1:37" ht="63.75" customHeight="1" x14ac:dyDescent="0.2">
      <c r="A401" s="16"/>
      <c r="B401" s="167"/>
      <c r="C401" s="638">
        <v>19</v>
      </c>
      <c r="D401" s="643" t="s">
        <v>434</v>
      </c>
      <c r="E401" s="651" t="s">
        <v>479</v>
      </c>
      <c r="F401" s="651" t="s">
        <v>445</v>
      </c>
      <c r="G401" s="25"/>
      <c r="H401" s="673">
        <v>86</v>
      </c>
      <c r="I401" s="665" t="s">
        <v>480</v>
      </c>
      <c r="J401" s="132">
        <v>0</v>
      </c>
      <c r="K401" s="153">
        <v>3</v>
      </c>
      <c r="L401" s="744"/>
      <c r="M401" s="764"/>
      <c r="N401" s="732"/>
      <c r="O401" s="735"/>
      <c r="P401" s="673" t="s">
        <v>54</v>
      </c>
      <c r="Q401" s="346"/>
      <c r="R401" s="346"/>
      <c r="S401" s="346"/>
      <c r="T401" s="346"/>
      <c r="U401" s="346"/>
      <c r="V401" s="346"/>
      <c r="W401" s="428"/>
      <c r="X401" s="346"/>
      <c r="Y401" s="346"/>
      <c r="Z401" s="346"/>
      <c r="AA401" s="346"/>
      <c r="AB401" s="346"/>
      <c r="AC401" s="346"/>
      <c r="AD401" s="346"/>
      <c r="AE401" s="346"/>
      <c r="AF401" s="547"/>
      <c r="AG401" s="360"/>
      <c r="AH401" s="346"/>
      <c r="AI401" s="348"/>
      <c r="AJ401" s="348"/>
      <c r="AK401" s="346">
        <f t="shared" si="95"/>
        <v>0</v>
      </c>
    </row>
    <row r="402" spans="1:37" ht="63.75" customHeight="1" x14ac:dyDescent="0.2">
      <c r="A402" s="16"/>
      <c r="B402" s="167"/>
      <c r="C402" s="638"/>
      <c r="D402" s="23"/>
      <c r="E402" s="242"/>
      <c r="F402" s="242"/>
      <c r="G402" s="25"/>
      <c r="H402" s="673">
        <v>89</v>
      </c>
      <c r="I402" s="665" t="s">
        <v>481</v>
      </c>
      <c r="J402" s="132" t="s">
        <v>32</v>
      </c>
      <c r="K402" s="153">
        <v>17500</v>
      </c>
      <c r="L402" s="744"/>
      <c r="M402" s="764"/>
      <c r="N402" s="732"/>
      <c r="O402" s="735"/>
      <c r="P402" s="673" t="s">
        <v>54</v>
      </c>
      <c r="Q402" s="346">
        <v>0</v>
      </c>
      <c r="R402" s="346">
        <v>0</v>
      </c>
      <c r="S402" s="346">
        <v>0</v>
      </c>
      <c r="T402" s="346">
        <v>0</v>
      </c>
      <c r="U402" s="346">
        <v>0</v>
      </c>
      <c r="V402" s="346">
        <v>0</v>
      </c>
      <c r="W402" s="346"/>
      <c r="X402" s="346"/>
      <c r="Y402" s="346"/>
      <c r="Z402" s="346">
        <v>0</v>
      </c>
      <c r="AA402" s="346">
        <v>0</v>
      </c>
      <c r="AB402" s="346"/>
      <c r="AC402" s="346"/>
      <c r="AD402" s="346">
        <v>0</v>
      </c>
      <c r="AE402" s="346">
        <v>0</v>
      </c>
      <c r="AF402" s="547"/>
      <c r="AG402" s="360"/>
      <c r="AH402" s="346">
        <v>0</v>
      </c>
      <c r="AI402" s="348"/>
      <c r="AJ402" s="348"/>
      <c r="AK402" s="346">
        <f t="shared" si="95"/>
        <v>0</v>
      </c>
    </row>
    <row r="403" spans="1:37" ht="63.75" customHeight="1" x14ac:dyDescent="0.2">
      <c r="A403" s="16"/>
      <c r="B403" s="167"/>
      <c r="C403" s="638"/>
      <c r="D403" s="23"/>
      <c r="E403" s="242"/>
      <c r="F403" s="242"/>
      <c r="G403" s="25"/>
      <c r="H403" s="673">
        <v>90</v>
      </c>
      <c r="I403" s="665" t="s">
        <v>482</v>
      </c>
      <c r="J403" s="132">
        <v>100</v>
      </c>
      <c r="K403" s="153">
        <v>126</v>
      </c>
      <c r="L403" s="744"/>
      <c r="M403" s="764"/>
      <c r="N403" s="732"/>
      <c r="O403" s="735"/>
      <c r="P403" s="673" t="s">
        <v>54</v>
      </c>
      <c r="Q403" s="346">
        <v>0</v>
      </c>
      <c r="R403" s="346">
        <v>0</v>
      </c>
      <c r="S403" s="346">
        <v>0</v>
      </c>
      <c r="T403" s="346">
        <v>0</v>
      </c>
      <c r="U403" s="346">
        <v>0</v>
      </c>
      <c r="V403" s="346">
        <v>0</v>
      </c>
      <c r="W403" s="429"/>
      <c r="X403" s="346"/>
      <c r="Y403" s="346"/>
      <c r="Z403" s="346">
        <v>0</v>
      </c>
      <c r="AA403" s="346">
        <v>0</v>
      </c>
      <c r="AB403" s="346"/>
      <c r="AC403" s="346"/>
      <c r="AD403" s="346">
        <v>0</v>
      </c>
      <c r="AE403" s="346">
        <v>0</v>
      </c>
      <c r="AF403" s="547">
        <f>20000000+20000000</f>
        <v>40000000</v>
      </c>
      <c r="AG403" s="360"/>
      <c r="AH403" s="346">
        <v>0</v>
      </c>
      <c r="AI403" s="348"/>
      <c r="AJ403" s="348"/>
      <c r="AK403" s="346">
        <f t="shared" si="95"/>
        <v>40000000</v>
      </c>
    </row>
    <row r="404" spans="1:37" ht="63.75" customHeight="1" x14ac:dyDescent="0.2">
      <c r="A404" s="16"/>
      <c r="B404" s="167"/>
      <c r="C404" s="638"/>
      <c r="D404" s="23"/>
      <c r="E404" s="242"/>
      <c r="F404" s="242"/>
      <c r="G404" s="25"/>
      <c r="H404" s="673">
        <v>91</v>
      </c>
      <c r="I404" s="665" t="s">
        <v>483</v>
      </c>
      <c r="J404" s="132">
        <v>0</v>
      </c>
      <c r="K404" s="153">
        <v>54</v>
      </c>
      <c r="L404" s="744"/>
      <c r="M404" s="764"/>
      <c r="N404" s="732"/>
      <c r="O404" s="735"/>
      <c r="P404" s="673" t="s">
        <v>41</v>
      </c>
      <c r="Q404" s="346">
        <v>0</v>
      </c>
      <c r="R404" s="346">
        <v>0</v>
      </c>
      <c r="S404" s="346">
        <v>0</v>
      </c>
      <c r="T404" s="346">
        <v>0</v>
      </c>
      <c r="U404" s="346">
        <v>0</v>
      </c>
      <c r="V404" s="346">
        <v>0</v>
      </c>
      <c r="W404" s="346"/>
      <c r="X404" s="346"/>
      <c r="Y404" s="346"/>
      <c r="Z404" s="346">
        <v>0</v>
      </c>
      <c r="AA404" s="346">
        <v>0</v>
      </c>
      <c r="AB404" s="540">
        <f>0+2296502</f>
        <v>2296502</v>
      </c>
      <c r="AC404" s="346"/>
      <c r="AD404" s="346">
        <v>0</v>
      </c>
      <c r="AE404" s="346">
        <v>0</v>
      </c>
      <c r="AF404" s="547">
        <f>20000000+74000000-64000000</f>
        <v>30000000</v>
      </c>
      <c r="AG404" s="360"/>
      <c r="AH404" s="346">
        <v>0</v>
      </c>
      <c r="AI404" s="348"/>
      <c r="AJ404" s="348"/>
      <c r="AK404" s="346">
        <f t="shared" si="95"/>
        <v>32296502</v>
      </c>
    </row>
    <row r="405" spans="1:37" ht="63.75" customHeight="1" x14ac:dyDescent="0.2">
      <c r="A405" s="16"/>
      <c r="B405" s="167"/>
      <c r="C405" s="638"/>
      <c r="D405" s="643"/>
      <c r="E405" s="651"/>
      <c r="F405" s="651"/>
      <c r="G405" s="27"/>
      <c r="H405" s="673">
        <v>92</v>
      </c>
      <c r="I405" s="665" t="s">
        <v>484</v>
      </c>
      <c r="J405" s="132">
        <v>0</v>
      </c>
      <c r="K405" s="153">
        <v>2</v>
      </c>
      <c r="L405" s="745"/>
      <c r="M405" s="765"/>
      <c r="N405" s="733"/>
      <c r="O405" s="736"/>
      <c r="P405" s="673" t="s">
        <v>54</v>
      </c>
      <c r="Q405" s="346"/>
      <c r="R405" s="346"/>
      <c r="S405" s="346"/>
      <c r="T405" s="346"/>
      <c r="U405" s="346"/>
      <c r="V405" s="346"/>
      <c r="W405" s="346"/>
      <c r="X405" s="346"/>
      <c r="Y405" s="346"/>
      <c r="Z405" s="346"/>
      <c r="AA405" s="346"/>
      <c r="AB405" s="346"/>
      <c r="AC405" s="346"/>
      <c r="AD405" s="346"/>
      <c r="AE405" s="346"/>
      <c r="AF405" s="547">
        <v>30050000</v>
      </c>
      <c r="AG405" s="360"/>
      <c r="AH405" s="346"/>
      <c r="AI405" s="348"/>
      <c r="AJ405" s="348"/>
      <c r="AK405" s="346">
        <f t="shared" si="95"/>
        <v>30050000</v>
      </c>
    </row>
    <row r="406" spans="1:37" ht="30" customHeight="1" x14ac:dyDescent="0.2">
      <c r="A406" s="16"/>
      <c r="B406" s="167"/>
      <c r="C406" s="649"/>
      <c r="D406" s="644"/>
      <c r="E406" s="649"/>
      <c r="F406" s="649"/>
      <c r="G406" s="239"/>
      <c r="H406" s="31"/>
      <c r="I406" s="30"/>
      <c r="J406" s="154"/>
      <c r="K406" s="159"/>
      <c r="L406" s="159"/>
      <c r="M406" s="596"/>
      <c r="N406" s="31"/>
      <c r="O406" s="30"/>
      <c r="P406" s="31"/>
      <c r="Q406" s="355">
        <f t="shared" ref="Q406:AJ406" si="96">SUM(Q396:Q405)</f>
        <v>0</v>
      </c>
      <c r="R406" s="355">
        <f t="shared" si="96"/>
        <v>0</v>
      </c>
      <c r="S406" s="355">
        <f t="shared" si="96"/>
        <v>0</v>
      </c>
      <c r="T406" s="355">
        <f t="shared" si="96"/>
        <v>0</v>
      </c>
      <c r="U406" s="355">
        <f t="shared" si="96"/>
        <v>0</v>
      </c>
      <c r="V406" s="355">
        <f t="shared" si="96"/>
        <v>0</v>
      </c>
      <c r="W406" s="355">
        <f t="shared" si="96"/>
        <v>0</v>
      </c>
      <c r="X406" s="355">
        <f t="shared" si="96"/>
        <v>0</v>
      </c>
      <c r="Y406" s="355">
        <f t="shared" si="96"/>
        <v>0</v>
      </c>
      <c r="Z406" s="355">
        <f t="shared" si="96"/>
        <v>0</v>
      </c>
      <c r="AA406" s="355">
        <f t="shared" si="96"/>
        <v>0</v>
      </c>
      <c r="AB406" s="355">
        <f t="shared" si="96"/>
        <v>2296502</v>
      </c>
      <c r="AC406" s="355">
        <f t="shared" si="96"/>
        <v>0</v>
      </c>
      <c r="AD406" s="355">
        <f t="shared" si="96"/>
        <v>0</v>
      </c>
      <c r="AE406" s="355">
        <f t="shared" si="96"/>
        <v>0</v>
      </c>
      <c r="AF406" s="355">
        <f t="shared" si="96"/>
        <v>331200000</v>
      </c>
      <c r="AG406" s="355">
        <f t="shared" si="96"/>
        <v>0</v>
      </c>
      <c r="AH406" s="355">
        <f t="shared" si="96"/>
        <v>0</v>
      </c>
      <c r="AI406" s="355">
        <f t="shared" si="96"/>
        <v>0</v>
      </c>
      <c r="AJ406" s="355">
        <f t="shared" si="96"/>
        <v>0</v>
      </c>
      <c r="AK406" s="355">
        <f>SUM(AK396:AK405)</f>
        <v>333496502</v>
      </c>
    </row>
    <row r="407" spans="1:37" ht="30" customHeight="1" x14ac:dyDescent="0.2">
      <c r="A407" s="16"/>
      <c r="B407" s="16"/>
      <c r="C407" s="116"/>
      <c r="D407" s="44"/>
      <c r="E407" s="228"/>
      <c r="F407" s="228"/>
      <c r="G407" s="44"/>
      <c r="H407" s="116"/>
      <c r="I407" s="44"/>
      <c r="J407" s="45"/>
      <c r="K407" s="160"/>
      <c r="L407" s="168"/>
      <c r="M407" s="585"/>
      <c r="N407" s="345"/>
      <c r="O407" s="74"/>
      <c r="P407" s="116"/>
      <c r="Q407" s="350"/>
      <c r="R407" s="351"/>
      <c r="S407" s="350"/>
      <c r="T407" s="350"/>
      <c r="U407" s="350"/>
      <c r="V407" s="350"/>
      <c r="W407" s="350"/>
      <c r="X407" s="350"/>
      <c r="Y407" s="350"/>
      <c r="Z407" s="350"/>
      <c r="AA407" s="350"/>
      <c r="AB407" s="350"/>
      <c r="AC407" s="350"/>
      <c r="AD407" s="350"/>
      <c r="AE407" s="350"/>
      <c r="AF407" s="693"/>
      <c r="AG407" s="350"/>
      <c r="AH407" s="350"/>
      <c r="AI407" s="350"/>
      <c r="AJ407" s="350"/>
      <c r="AK407" s="354"/>
    </row>
    <row r="408" spans="1:37" ht="30" customHeight="1" x14ac:dyDescent="0.2">
      <c r="A408" s="16"/>
      <c r="B408" s="16"/>
      <c r="C408" s="648"/>
      <c r="D408" s="642"/>
      <c r="E408" s="648"/>
      <c r="F408" s="648"/>
      <c r="G408" s="108">
        <v>21</v>
      </c>
      <c r="H408" s="135" t="s">
        <v>485</v>
      </c>
      <c r="I408" s="52"/>
      <c r="J408" s="52"/>
      <c r="K408" s="119"/>
      <c r="L408" s="119"/>
      <c r="M408" s="581"/>
      <c r="N408" s="136"/>
      <c r="O408" s="52"/>
      <c r="P408" s="52"/>
      <c r="Q408" s="231"/>
      <c r="R408" s="231"/>
      <c r="S408" s="231"/>
      <c r="T408" s="231"/>
      <c r="U408" s="231"/>
      <c r="V408" s="231"/>
      <c r="W408" s="231"/>
      <c r="X408" s="231"/>
      <c r="Y408" s="231"/>
      <c r="Z408" s="231"/>
      <c r="AA408" s="231"/>
      <c r="AB408" s="231"/>
      <c r="AC408" s="231"/>
      <c r="AD408" s="231"/>
      <c r="AE408" s="231"/>
      <c r="AF408" s="359"/>
      <c r="AG408" s="231"/>
      <c r="AH408" s="231"/>
      <c r="AI408" s="231"/>
      <c r="AJ408" s="231"/>
      <c r="AK408" s="233"/>
    </row>
    <row r="409" spans="1:37" ht="84.75" customHeight="1" x14ac:dyDescent="0.2">
      <c r="A409" s="16"/>
      <c r="B409" s="167"/>
      <c r="C409" s="638">
        <v>14</v>
      </c>
      <c r="D409" s="23" t="s">
        <v>438</v>
      </c>
      <c r="E409" s="651">
        <v>6.2E-2</v>
      </c>
      <c r="F409" s="651">
        <v>0.03</v>
      </c>
      <c r="G409" s="128"/>
      <c r="H409" s="673">
        <v>93</v>
      </c>
      <c r="I409" s="665" t="s">
        <v>486</v>
      </c>
      <c r="J409" s="132" t="s">
        <v>32</v>
      </c>
      <c r="K409" s="153">
        <v>32</v>
      </c>
      <c r="L409" s="743">
        <v>2017003630038</v>
      </c>
      <c r="M409" s="763" t="s">
        <v>432</v>
      </c>
      <c r="N409" s="731" t="s">
        <v>487</v>
      </c>
      <c r="O409" s="734" t="s">
        <v>894</v>
      </c>
      <c r="P409" s="673" t="s">
        <v>54</v>
      </c>
      <c r="Q409" s="346">
        <v>0</v>
      </c>
      <c r="R409" s="372">
        <v>0</v>
      </c>
      <c r="S409" s="346">
        <v>0</v>
      </c>
      <c r="T409" s="346">
        <v>0</v>
      </c>
      <c r="U409" s="346">
        <v>0</v>
      </c>
      <c r="V409" s="346">
        <v>0</v>
      </c>
      <c r="W409" s="346">
        <v>0</v>
      </c>
      <c r="X409" s="346"/>
      <c r="Y409" s="346"/>
      <c r="Z409" s="346">
        <v>0</v>
      </c>
      <c r="AA409" s="346">
        <v>0</v>
      </c>
      <c r="AB409" s="430"/>
      <c r="AC409" s="425"/>
      <c r="AD409" s="346">
        <v>0</v>
      </c>
      <c r="AE409" s="346">
        <v>0</v>
      </c>
      <c r="AF409" s="547">
        <f>59100000-8000000-30000000</f>
        <v>21100000</v>
      </c>
      <c r="AG409" s="360"/>
      <c r="AH409" s="346">
        <v>0</v>
      </c>
      <c r="AI409" s="348"/>
      <c r="AJ409" s="348"/>
      <c r="AK409" s="346">
        <f>Q409+R409+S409+T409+U409+V409+W409+X409+Y409+Z409+AA409+AB409+AC409+AD409+AE409+AF409+AG409+AH409+AI409+AJ409</f>
        <v>21100000</v>
      </c>
    </row>
    <row r="410" spans="1:37" ht="84.75" customHeight="1" x14ac:dyDescent="0.2">
      <c r="A410" s="16"/>
      <c r="B410" s="167"/>
      <c r="C410" s="638">
        <v>15</v>
      </c>
      <c r="D410" s="643" t="s">
        <v>430</v>
      </c>
      <c r="E410" s="651">
        <v>0.73229999999999995</v>
      </c>
      <c r="F410" s="651">
        <v>0.78</v>
      </c>
      <c r="G410" s="25"/>
      <c r="H410" s="673">
        <v>94</v>
      </c>
      <c r="I410" s="665" t="s">
        <v>488</v>
      </c>
      <c r="J410" s="132">
        <v>70</v>
      </c>
      <c r="K410" s="633">
        <v>55</v>
      </c>
      <c r="L410" s="744"/>
      <c r="M410" s="764"/>
      <c r="N410" s="732"/>
      <c r="O410" s="735"/>
      <c r="P410" s="673" t="s">
        <v>54</v>
      </c>
      <c r="Q410" s="346">
        <v>0</v>
      </c>
      <c r="R410" s="372">
        <v>0</v>
      </c>
      <c r="S410" s="346">
        <v>0</v>
      </c>
      <c r="T410" s="346">
        <v>0</v>
      </c>
      <c r="U410" s="346">
        <v>0</v>
      </c>
      <c r="V410" s="346">
        <v>0</v>
      </c>
      <c r="W410" s="346">
        <v>0</v>
      </c>
      <c r="X410" s="346"/>
      <c r="Y410" s="346"/>
      <c r="Z410" s="346">
        <v>0</v>
      </c>
      <c r="AA410" s="346">
        <v>0</v>
      </c>
      <c r="AB410" s="547">
        <f>50000000+177770022-80000000+80000000-6619417.14</f>
        <v>221150604.86000001</v>
      </c>
      <c r="AC410" s="347"/>
      <c r="AD410" s="346">
        <v>0</v>
      </c>
      <c r="AE410" s="346">
        <v>0</v>
      </c>
      <c r="AF410" s="547">
        <f>22000000+55000000+8000000</f>
        <v>85000000</v>
      </c>
      <c r="AG410" s="360"/>
      <c r="AH410" s="346">
        <v>0</v>
      </c>
      <c r="AI410" s="348"/>
      <c r="AJ410" s="348"/>
      <c r="AK410" s="346">
        <f>Q410+R410+S410+T410+U410+V410+W410+X410+Y410+Z410+AA410+AB410+AC410+AD410+AE410+AF410+AG410+AH410+AI410+AJ410</f>
        <v>306150604.86000001</v>
      </c>
    </row>
    <row r="411" spans="1:37" ht="84.75" customHeight="1" x14ac:dyDescent="0.2">
      <c r="A411" s="16"/>
      <c r="B411" s="167"/>
      <c r="C411" s="638">
        <v>19</v>
      </c>
      <c r="D411" s="643" t="s">
        <v>434</v>
      </c>
      <c r="E411" s="651" t="s">
        <v>479</v>
      </c>
      <c r="F411" s="651" t="s">
        <v>489</v>
      </c>
      <c r="G411" s="25"/>
      <c r="H411" s="673">
        <v>95</v>
      </c>
      <c r="I411" s="665" t="s">
        <v>490</v>
      </c>
      <c r="J411" s="132">
        <v>0</v>
      </c>
      <c r="K411" s="153">
        <v>500</v>
      </c>
      <c r="L411" s="744"/>
      <c r="M411" s="764"/>
      <c r="N411" s="732"/>
      <c r="O411" s="735"/>
      <c r="P411" s="673" t="s">
        <v>41</v>
      </c>
      <c r="Q411" s="346">
        <v>0</v>
      </c>
      <c r="R411" s="372">
        <v>0</v>
      </c>
      <c r="S411" s="346">
        <v>0</v>
      </c>
      <c r="T411" s="346">
        <v>0</v>
      </c>
      <c r="U411" s="346">
        <v>0</v>
      </c>
      <c r="V411" s="346">
        <v>0</v>
      </c>
      <c r="W411" s="346">
        <v>0</v>
      </c>
      <c r="X411" s="346"/>
      <c r="Y411" s="346"/>
      <c r="Z411" s="346">
        <v>0</v>
      </c>
      <c r="AA411" s="346">
        <v>0</v>
      </c>
      <c r="AB411" s="547">
        <f>10000000-10000000</f>
        <v>0</v>
      </c>
      <c r="AC411" s="347"/>
      <c r="AD411" s="346">
        <v>0</v>
      </c>
      <c r="AE411" s="346">
        <v>0</v>
      </c>
      <c r="AF411" s="615"/>
      <c r="AG411" s="360"/>
      <c r="AH411" s="346">
        <v>0</v>
      </c>
      <c r="AI411" s="348"/>
      <c r="AJ411" s="348"/>
      <c r="AK411" s="346">
        <f>Q411+R411+S411+T411+U411+V411+W411+X411+Y411+Z411+AA411+AB411+AC411+AD411+AE411+AF411+AG411+AH411+AI411+AJ411</f>
        <v>0</v>
      </c>
    </row>
    <row r="412" spans="1:37" ht="84.75" customHeight="1" x14ac:dyDescent="0.2">
      <c r="A412" s="16"/>
      <c r="B412" s="167"/>
      <c r="C412" s="638"/>
      <c r="D412" s="23"/>
      <c r="E412" s="23"/>
      <c r="F412" s="474"/>
      <c r="G412" s="27"/>
      <c r="H412" s="673">
        <v>96</v>
      </c>
      <c r="I412" s="665" t="s">
        <v>491</v>
      </c>
      <c r="J412" s="132">
        <v>0</v>
      </c>
      <c r="K412" s="153">
        <v>2</v>
      </c>
      <c r="L412" s="745"/>
      <c r="M412" s="765"/>
      <c r="N412" s="733"/>
      <c r="O412" s="736"/>
      <c r="P412" s="673" t="s">
        <v>54</v>
      </c>
      <c r="Q412" s="346">
        <v>0</v>
      </c>
      <c r="R412" s="372">
        <v>0</v>
      </c>
      <c r="S412" s="346">
        <v>0</v>
      </c>
      <c r="T412" s="346">
        <v>0</v>
      </c>
      <c r="U412" s="346">
        <v>0</v>
      </c>
      <c r="V412" s="346">
        <v>0</v>
      </c>
      <c r="W412" s="346">
        <v>0</v>
      </c>
      <c r="X412" s="346"/>
      <c r="Y412" s="346"/>
      <c r="Z412" s="346">
        <v>0</v>
      </c>
      <c r="AA412" s="346">
        <v>0</v>
      </c>
      <c r="AB412" s="547">
        <f>20000000+10000000</f>
        <v>30000000</v>
      </c>
      <c r="AC412" s="347"/>
      <c r="AD412" s="346">
        <v>0</v>
      </c>
      <c r="AE412" s="346">
        <v>0</v>
      </c>
      <c r="AF412" s="615">
        <f>0+30000000</f>
        <v>30000000</v>
      </c>
      <c r="AG412" s="360"/>
      <c r="AH412" s="346">
        <v>0</v>
      </c>
      <c r="AI412" s="348"/>
      <c r="AJ412" s="348"/>
      <c r="AK412" s="346">
        <f>Q412+R412+S412+T412+U412+V412+W412+X412+Y412+Z412+AA412+AB412+AC412+AD412+AE412+AF412+AG412+AH412+AI412+AJ412</f>
        <v>60000000</v>
      </c>
    </row>
    <row r="413" spans="1:37" ht="30" customHeight="1" x14ac:dyDescent="0.2">
      <c r="A413" s="16"/>
      <c r="B413" s="16"/>
      <c r="C413" s="649"/>
      <c r="D413" s="644"/>
      <c r="E413" s="649"/>
      <c r="F413" s="649"/>
      <c r="G413" s="30"/>
      <c r="H413" s="31"/>
      <c r="I413" s="30"/>
      <c r="J413" s="154"/>
      <c r="K413" s="159"/>
      <c r="L413" s="159"/>
      <c r="M413" s="596"/>
      <c r="N413" s="31"/>
      <c r="O413" s="30"/>
      <c r="P413" s="31"/>
      <c r="Q413" s="355">
        <f t="shared" ref="Q413:AK413" si="97">SUM(Q409:Q412)</f>
        <v>0</v>
      </c>
      <c r="R413" s="355">
        <f t="shared" si="97"/>
        <v>0</v>
      </c>
      <c r="S413" s="355">
        <f t="shared" si="97"/>
        <v>0</v>
      </c>
      <c r="T413" s="355">
        <f t="shared" si="97"/>
        <v>0</v>
      </c>
      <c r="U413" s="355">
        <f t="shared" si="97"/>
        <v>0</v>
      </c>
      <c r="V413" s="355">
        <f t="shared" si="97"/>
        <v>0</v>
      </c>
      <c r="W413" s="355">
        <f t="shared" si="97"/>
        <v>0</v>
      </c>
      <c r="X413" s="355">
        <f t="shared" si="97"/>
        <v>0</v>
      </c>
      <c r="Y413" s="355">
        <f t="shared" si="97"/>
        <v>0</v>
      </c>
      <c r="Z413" s="355">
        <f t="shared" si="97"/>
        <v>0</v>
      </c>
      <c r="AA413" s="355">
        <f t="shared" si="97"/>
        <v>0</v>
      </c>
      <c r="AB413" s="355">
        <f t="shared" si="97"/>
        <v>251150604.86000001</v>
      </c>
      <c r="AC413" s="355">
        <f t="shared" si="97"/>
        <v>0</v>
      </c>
      <c r="AD413" s="355">
        <f t="shared" si="97"/>
        <v>0</v>
      </c>
      <c r="AE413" s="355">
        <f t="shared" si="97"/>
        <v>0</v>
      </c>
      <c r="AF413" s="355">
        <f t="shared" si="97"/>
        <v>136100000</v>
      </c>
      <c r="AG413" s="355">
        <f t="shared" si="97"/>
        <v>0</v>
      </c>
      <c r="AH413" s="355">
        <f t="shared" si="97"/>
        <v>0</v>
      </c>
      <c r="AI413" s="355">
        <f t="shared" si="97"/>
        <v>0</v>
      </c>
      <c r="AJ413" s="355">
        <f t="shared" si="97"/>
        <v>0</v>
      </c>
      <c r="AK413" s="355">
        <f t="shared" si="97"/>
        <v>387250604.86000001</v>
      </c>
    </row>
    <row r="414" spans="1:37" ht="30" customHeight="1" x14ac:dyDescent="0.2">
      <c r="A414" s="16"/>
      <c r="B414" s="16"/>
      <c r="C414" s="116"/>
      <c r="D414" s="44"/>
      <c r="E414" s="228"/>
      <c r="F414" s="228"/>
      <c r="G414" s="44"/>
      <c r="H414" s="116"/>
      <c r="I414" s="44"/>
      <c r="J414" s="45"/>
      <c r="K414" s="160"/>
      <c r="L414" s="168"/>
      <c r="M414" s="585"/>
      <c r="N414" s="345"/>
      <c r="O414" s="74"/>
      <c r="P414" s="116"/>
      <c r="Q414" s="350"/>
      <c r="R414" s="351"/>
      <c r="S414" s="350"/>
      <c r="T414" s="350"/>
      <c r="U414" s="350"/>
      <c r="V414" s="350"/>
      <c r="W414" s="350"/>
      <c r="X414" s="350"/>
      <c r="Y414" s="350"/>
      <c r="Z414" s="350"/>
      <c r="AA414" s="350"/>
      <c r="AB414" s="350"/>
      <c r="AC414" s="350"/>
      <c r="AD414" s="350"/>
      <c r="AE414" s="350"/>
      <c r="AF414" s="693"/>
      <c r="AG414" s="350"/>
      <c r="AH414" s="350"/>
      <c r="AI414" s="350"/>
      <c r="AJ414" s="350"/>
      <c r="AK414" s="354"/>
    </row>
    <row r="415" spans="1:37" ht="30" customHeight="1" x14ac:dyDescent="0.2">
      <c r="A415" s="16"/>
      <c r="B415" s="16"/>
      <c r="C415" s="648"/>
      <c r="D415" s="642"/>
      <c r="E415" s="668"/>
      <c r="F415" s="668"/>
      <c r="G415" s="50">
        <v>22</v>
      </c>
      <c r="H415" s="52" t="s">
        <v>492</v>
      </c>
      <c r="I415" s="52"/>
      <c r="J415" s="52"/>
      <c r="K415" s="119"/>
      <c r="L415" s="119"/>
      <c r="M415" s="581"/>
      <c r="N415" s="136"/>
      <c r="O415" s="52"/>
      <c r="P415" s="52"/>
      <c r="Q415" s="231"/>
      <c r="R415" s="231"/>
      <c r="S415" s="231"/>
      <c r="T415" s="231"/>
      <c r="U415" s="231"/>
      <c r="V415" s="231"/>
      <c r="W415" s="231"/>
      <c r="X415" s="231"/>
      <c r="Y415" s="231"/>
      <c r="Z415" s="231"/>
      <c r="AA415" s="231"/>
      <c r="AB415" s="231"/>
      <c r="AC415" s="231"/>
      <c r="AD415" s="231"/>
      <c r="AE415" s="231"/>
      <c r="AF415" s="359"/>
      <c r="AG415" s="231"/>
      <c r="AH415" s="231"/>
      <c r="AI415" s="231"/>
      <c r="AJ415" s="231"/>
      <c r="AK415" s="233"/>
    </row>
    <row r="416" spans="1:37" ht="83.25" customHeight="1" x14ac:dyDescent="0.2">
      <c r="A416" s="16"/>
      <c r="B416" s="16"/>
      <c r="C416" s="638" t="s">
        <v>452</v>
      </c>
      <c r="D416" s="643" t="s">
        <v>453</v>
      </c>
      <c r="E416" s="651" t="s">
        <v>454</v>
      </c>
      <c r="F416" s="651" t="s">
        <v>493</v>
      </c>
      <c r="G416" s="665"/>
      <c r="H416" s="673">
        <v>97</v>
      </c>
      <c r="I416" s="665" t="s">
        <v>494</v>
      </c>
      <c r="J416" s="132" t="s">
        <v>32</v>
      </c>
      <c r="K416" s="153">
        <v>46</v>
      </c>
      <c r="L416" s="20">
        <v>2017003630027</v>
      </c>
      <c r="M416" s="671" t="s">
        <v>432</v>
      </c>
      <c r="N416" s="673" t="s">
        <v>495</v>
      </c>
      <c r="O416" s="665" t="s">
        <v>496</v>
      </c>
      <c r="P416" s="673" t="s">
        <v>54</v>
      </c>
      <c r="Q416" s="346">
        <v>0</v>
      </c>
      <c r="R416" s="346">
        <v>0</v>
      </c>
      <c r="S416" s="346">
        <v>0</v>
      </c>
      <c r="T416" s="346">
        <v>0</v>
      </c>
      <c r="U416" s="346">
        <v>0</v>
      </c>
      <c r="V416" s="346">
        <v>0</v>
      </c>
      <c r="W416" s="346">
        <v>0</v>
      </c>
      <c r="X416" s="346"/>
      <c r="Y416" s="346"/>
      <c r="Z416" s="346">
        <v>0</v>
      </c>
      <c r="AA416" s="346">
        <v>0</v>
      </c>
      <c r="AB416" s="619">
        <f>10000000-10000000+10000000-10000000</f>
        <v>0</v>
      </c>
      <c r="AC416" s="425"/>
      <c r="AD416" s="425">
        <v>0</v>
      </c>
      <c r="AE416" s="346">
        <v>0</v>
      </c>
      <c r="AF416" s="347">
        <v>0</v>
      </c>
      <c r="AG416" s="360"/>
      <c r="AH416" s="346">
        <v>0</v>
      </c>
      <c r="AI416" s="348"/>
      <c r="AJ416" s="348"/>
      <c r="AK416" s="346">
        <f>Q416+R416+S416+T416+U416+V416+W416+X416+Y416+Z416+AA416+AB416+AC416+AD416+AE416+AF416+AG416+AH416+AI416+AJ416</f>
        <v>0</v>
      </c>
    </row>
    <row r="417" spans="1:37" ht="30" customHeight="1" x14ac:dyDescent="0.2">
      <c r="A417" s="16"/>
      <c r="B417" s="29"/>
      <c r="C417" s="649"/>
      <c r="D417" s="644"/>
      <c r="E417" s="249"/>
      <c r="F417" s="249"/>
      <c r="G417" s="30"/>
      <c r="H417" s="31"/>
      <c r="I417" s="30"/>
      <c r="J417" s="154"/>
      <c r="K417" s="159"/>
      <c r="L417" s="159"/>
      <c r="M417" s="596"/>
      <c r="N417" s="31"/>
      <c r="O417" s="30"/>
      <c r="P417" s="31"/>
      <c r="Q417" s="355">
        <f t="shared" ref="Q417:AK417" si="98">SUM(Q416)</f>
        <v>0</v>
      </c>
      <c r="R417" s="355">
        <f t="shared" si="98"/>
        <v>0</v>
      </c>
      <c r="S417" s="355">
        <f t="shared" si="98"/>
        <v>0</v>
      </c>
      <c r="T417" s="355">
        <f t="shared" si="98"/>
        <v>0</v>
      </c>
      <c r="U417" s="355">
        <f t="shared" si="98"/>
        <v>0</v>
      </c>
      <c r="V417" s="355">
        <f t="shared" si="98"/>
        <v>0</v>
      </c>
      <c r="W417" s="355">
        <f t="shared" si="98"/>
        <v>0</v>
      </c>
      <c r="X417" s="355">
        <f t="shared" si="98"/>
        <v>0</v>
      </c>
      <c r="Y417" s="355">
        <f t="shared" si="98"/>
        <v>0</v>
      </c>
      <c r="Z417" s="355">
        <f t="shared" si="98"/>
        <v>0</v>
      </c>
      <c r="AA417" s="355">
        <f t="shared" si="98"/>
        <v>0</v>
      </c>
      <c r="AB417" s="355">
        <f t="shared" si="98"/>
        <v>0</v>
      </c>
      <c r="AC417" s="355">
        <f t="shared" si="98"/>
        <v>0</v>
      </c>
      <c r="AD417" s="355">
        <f t="shared" si="98"/>
        <v>0</v>
      </c>
      <c r="AE417" s="355">
        <f t="shared" si="98"/>
        <v>0</v>
      </c>
      <c r="AF417" s="355">
        <f t="shared" si="98"/>
        <v>0</v>
      </c>
      <c r="AG417" s="355">
        <f t="shared" si="98"/>
        <v>0</v>
      </c>
      <c r="AH417" s="355">
        <f t="shared" si="98"/>
        <v>0</v>
      </c>
      <c r="AI417" s="355">
        <f t="shared" si="98"/>
        <v>0</v>
      </c>
      <c r="AJ417" s="355">
        <f t="shared" si="98"/>
        <v>0</v>
      </c>
      <c r="AK417" s="355">
        <f t="shared" si="98"/>
        <v>0</v>
      </c>
    </row>
    <row r="418" spans="1:37" ht="30" customHeight="1" x14ac:dyDescent="0.2">
      <c r="A418" s="16"/>
      <c r="B418" s="68"/>
      <c r="C418" s="35"/>
      <c r="D418" s="34"/>
      <c r="E418" s="234"/>
      <c r="F418" s="234"/>
      <c r="G418" s="34"/>
      <c r="H418" s="35"/>
      <c r="I418" s="34"/>
      <c r="J418" s="170"/>
      <c r="K418" s="170"/>
      <c r="L418" s="170"/>
      <c r="M418" s="595"/>
      <c r="N418" s="35"/>
      <c r="O418" s="34"/>
      <c r="P418" s="35"/>
      <c r="Q418" s="361">
        <f t="shared" ref="Q418:AK418" si="99">Q417+Q413+Q406+Q393</f>
        <v>0</v>
      </c>
      <c r="R418" s="361">
        <f t="shared" si="99"/>
        <v>0</v>
      </c>
      <c r="S418" s="361">
        <f t="shared" si="99"/>
        <v>0</v>
      </c>
      <c r="T418" s="361">
        <f t="shared" si="99"/>
        <v>0</v>
      </c>
      <c r="U418" s="361">
        <f t="shared" si="99"/>
        <v>0</v>
      </c>
      <c r="V418" s="361">
        <f t="shared" si="99"/>
        <v>0</v>
      </c>
      <c r="W418" s="361">
        <f t="shared" si="99"/>
        <v>0</v>
      </c>
      <c r="X418" s="361">
        <f t="shared" si="99"/>
        <v>0</v>
      </c>
      <c r="Y418" s="361">
        <f t="shared" si="99"/>
        <v>0</v>
      </c>
      <c r="Z418" s="361">
        <f t="shared" si="99"/>
        <v>0</v>
      </c>
      <c r="AA418" s="361">
        <f t="shared" si="99"/>
        <v>0</v>
      </c>
      <c r="AB418" s="361">
        <f t="shared" si="99"/>
        <v>253447106.86000001</v>
      </c>
      <c r="AC418" s="361">
        <f t="shared" si="99"/>
        <v>0</v>
      </c>
      <c r="AD418" s="361">
        <f t="shared" si="99"/>
        <v>0</v>
      </c>
      <c r="AE418" s="361">
        <f t="shared" si="99"/>
        <v>0</v>
      </c>
      <c r="AF418" s="361">
        <f t="shared" si="99"/>
        <v>715465345</v>
      </c>
      <c r="AG418" s="361">
        <f t="shared" si="99"/>
        <v>0</v>
      </c>
      <c r="AH418" s="361">
        <f t="shared" si="99"/>
        <v>0</v>
      </c>
      <c r="AI418" s="361">
        <f t="shared" si="99"/>
        <v>0</v>
      </c>
      <c r="AJ418" s="361">
        <f t="shared" si="99"/>
        <v>0</v>
      </c>
      <c r="AK418" s="361">
        <f t="shared" si="99"/>
        <v>968912451.86000001</v>
      </c>
    </row>
    <row r="419" spans="1:37" ht="30" customHeight="1" x14ac:dyDescent="0.2">
      <c r="A419" s="16"/>
      <c r="B419" s="243"/>
      <c r="C419" s="155"/>
      <c r="D419" s="243"/>
      <c r="E419" s="244"/>
      <c r="F419" s="244"/>
      <c r="G419" s="243"/>
      <c r="H419" s="155"/>
      <c r="I419" s="243"/>
      <c r="J419" s="245"/>
      <c r="K419" s="245"/>
      <c r="L419" s="694"/>
      <c r="M419" s="695"/>
      <c r="N419" s="680"/>
      <c r="O419" s="612"/>
      <c r="P419" s="155"/>
      <c r="Q419" s="385"/>
      <c r="R419" s="385"/>
      <c r="S419" s="385"/>
      <c r="T419" s="385"/>
      <c r="U419" s="385"/>
      <c r="V419" s="385"/>
      <c r="W419" s="683"/>
      <c r="X419" s="385"/>
      <c r="Y419" s="385"/>
      <c r="Z419" s="385"/>
      <c r="AA419" s="385"/>
      <c r="AB419" s="432"/>
      <c r="AC419" s="432"/>
      <c r="AD419" s="385"/>
      <c r="AE419" s="385"/>
      <c r="AF419" s="685"/>
      <c r="AG419" s="683"/>
      <c r="AH419" s="385"/>
      <c r="AI419" s="385"/>
      <c r="AJ419" s="385"/>
      <c r="AK419" s="433"/>
    </row>
    <row r="420" spans="1:37" ht="30" customHeight="1" x14ac:dyDescent="0.2">
      <c r="A420" s="16"/>
      <c r="B420" s="93">
        <v>7</v>
      </c>
      <c r="C420" s="11" t="s">
        <v>497</v>
      </c>
      <c r="D420" s="12"/>
      <c r="E420" s="12"/>
      <c r="F420" s="12"/>
      <c r="G420" s="12"/>
      <c r="H420" s="13"/>
      <c r="I420" s="12"/>
      <c r="J420" s="12"/>
      <c r="K420" s="164"/>
      <c r="L420" s="164"/>
      <c r="M420" s="579"/>
      <c r="N420" s="13"/>
      <c r="O420" s="12"/>
      <c r="P420" s="12"/>
      <c r="Q420" s="357"/>
      <c r="R420" s="357"/>
      <c r="S420" s="357"/>
      <c r="T420" s="357"/>
      <c r="U420" s="357"/>
      <c r="V420" s="357"/>
      <c r="W420" s="357"/>
      <c r="X420" s="357"/>
      <c r="Y420" s="357"/>
      <c r="Z420" s="357"/>
      <c r="AA420" s="357"/>
      <c r="AB420" s="357"/>
      <c r="AC420" s="357"/>
      <c r="AD420" s="357"/>
      <c r="AE420" s="357"/>
      <c r="AF420" s="358"/>
      <c r="AG420" s="357"/>
      <c r="AH420" s="357"/>
      <c r="AI420" s="357"/>
      <c r="AJ420" s="357"/>
      <c r="AK420" s="362"/>
    </row>
    <row r="421" spans="1:37" ht="30" customHeight="1" x14ac:dyDescent="0.2">
      <c r="A421" s="16"/>
      <c r="B421" s="48"/>
      <c r="C421" s="648"/>
      <c r="D421" s="642"/>
      <c r="E421" s="648"/>
      <c r="F421" s="648"/>
      <c r="G421" s="181">
        <v>23</v>
      </c>
      <c r="H421" s="52" t="s">
        <v>498</v>
      </c>
      <c r="I421" s="52"/>
      <c r="J421" s="52"/>
      <c r="K421" s="119"/>
      <c r="L421" s="119"/>
      <c r="M421" s="581"/>
      <c r="N421" s="136"/>
      <c r="O421" s="52"/>
      <c r="P421" s="52"/>
      <c r="Q421" s="231"/>
      <c r="R421" s="231"/>
      <c r="S421" s="231"/>
      <c r="T421" s="231"/>
      <c r="U421" s="231"/>
      <c r="V421" s="231"/>
      <c r="W421" s="231"/>
      <c r="X421" s="231"/>
      <c r="Y421" s="231"/>
      <c r="Z421" s="231"/>
      <c r="AA421" s="231"/>
      <c r="AB421" s="231"/>
      <c r="AC421" s="231"/>
      <c r="AD421" s="231"/>
      <c r="AE421" s="231"/>
      <c r="AF421" s="359"/>
      <c r="AG421" s="231"/>
      <c r="AH421" s="231"/>
      <c r="AI421" s="231"/>
      <c r="AJ421" s="231"/>
      <c r="AK421" s="233"/>
    </row>
    <row r="422" spans="1:37" ht="76.5" customHeight="1" x14ac:dyDescent="0.2">
      <c r="A422" s="167"/>
      <c r="B422" s="16"/>
      <c r="C422" s="638"/>
      <c r="D422" s="23"/>
      <c r="E422" s="651"/>
      <c r="F422" s="651"/>
      <c r="G422" s="17"/>
      <c r="H422" s="673">
        <v>98</v>
      </c>
      <c r="I422" s="665" t="s">
        <v>499</v>
      </c>
      <c r="J422" s="132">
        <v>60</v>
      </c>
      <c r="K422" s="153">
        <v>55</v>
      </c>
      <c r="L422" s="743">
        <v>2017003630059</v>
      </c>
      <c r="M422" s="763" t="s">
        <v>432</v>
      </c>
      <c r="N422" s="731" t="s">
        <v>500</v>
      </c>
      <c r="O422" s="734" t="s">
        <v>501</v>
      </c>
      <c r="P422" s="673" t="s">
        <v>41</v>
      </c>
      <c r="Q422" s="346">
        <v>0</v>
      </c>
      <c r="R422" s="346">
        <v>0</v>
      </c>
      <c r="S422" s="346">
        <v>0</v>
      </c>
      <c r="T422" s="346">
        <v>0</v>
      </c>
      <c r="U422" s="346">
        <v>0</v>
      </c>
      <c r="V422" s="346">
        <v>0</v>
      </c>
      <c r="W422" s="346"/>
      <c r="X422" s="346"/>
      <c r="Y422" s="346"/>
      <c r="Z422" s="346">
        <v>0</v>
      </c>
      <c r="AA422" s="346">
        <v>0</v>
      </c>
      <c r="AB422" s="349"/>
      <c r="AC422" s="349"/>
      <c r="AD422" s="346">
        <v>0</v>
      </c>
      <c r="AE422" s="346">
        <v>0</v>
      </c>
      <c r="AF422" s="347"/>
      <c r="AG422" s="360"/>
      <c r="AH422" s="346">
        <v>0</v>
      </c>
      <c r="AI422" s="348"/>
      <c r="AJ422" s="348"/>
      <c r="AK422" s="346">
        <f>Q422+R422+S422+T422+U422+V422+W422+X422+Y422+Z422+AA422+AB422+AC422+AD422+AE422+AF422+AG422+AH422+AI422+AJ422</f>
        <v>0</v>
      </c>
    </row>
    <row r="423" spans="1:37" ht="76.5" customHeight="1" x14ac:dyDescent="0.2">
      <c r="A423" s="167"/>
      <c r="B423" s="16"/>
      <c r="C423" s="655">
        <v>16</v>
      </c>
      <c r="D423" s="643" t="s">
        <v>502</v>
      </c>
      <c r="E423" s="638">
        <v>45</v>
      </c>
      <c r="F423" s="655">
        <v>90</v>
      </c>
      <c r="G423" s="23"/>
      <c r="H423" s="673">
        <v>99</v>
      </c>
      <c r="I423" s="665" t="s">
        <v>503</v>
      </c>
      <c r="J423" s="132">
        <v>76</v>
      </c>
      <c r="K423" s="153">
        <v>150</v>
      </c>
      <c r="L423" s="744"/>
      <c r="M423" s="764"/>
      <c r="N423" s="732"/>
      <c r="O423" s="735"/>
      <c r="P423" s="673" t="s">
        <v>41</v>
      </c>
      <c r="Q423" s="346">
        <v>0</v>
      </c>
      <c r="R423" s="346">
        <v>0</v>
      </c>
      <c r="S423" s="346">
        <v>0</v>
      </c>
      <c r="T423" s="346">
        <v>0</v>
      </c>
      <c r="U423" s="346">
        <v>0</v>
      </c>
      <c r="V423" s="346">
        <v>0</v>
      </c>
      <c r="W423" s="346"/>
      <c r="X423" s="346"/>
      <c r="Y423" s="346"/>
      <c r="Z423" s="346">
        <v>0</v>
      </c>
      <c r="AA423" s="346">
        <v>0</v>
      </c>
      <c r="AB423" s="349"/>
      <c r="AC423" s="349"/>
      <c r="AD423" s="346">
        <v>0</v>
      </c>
      <c r="AE423" s="346">
        <v>0</v>
      </c>
      <c r="AF423" s="347">
        <v>0</v>
      </c>
      <c r="AG423" s="360"/>
      <c r="AH423" s="346">
        <v>0</v>
      </c>
      <c r="AI423" s="348"/>
      <c r="AJ423" s="348"/>
      <c r="AK423" s="346">
        <f>Q423+R423+S423+T423+U423+V423+W423+X423+Y423+Z423+AA423+AB423+AC423+AD423+AE423+AF423+AG423+AH423+AI423+AJ423</f>
        <v>0</v>
      </c>
    </row>
    <row r="424" spans="1:37" ht="76.5" customHeight="1" x14ac:dyDescent="0.2">
      <c r="A424" s="167"/>
      <c r="B424" s="16"/>
      <c r="C424" s="655">
        <v>17</v>
      </c>
      <c r="D424" s="643" t="s">
        <v>467</v>
      </c>
      <c r="E424" s="651">
        <v>0.63270000000000004</v>
      </c>
      <c r="F424" s="238">
        <v>0.5</v>
      </c>
      <c r="G424" s="23"/>
      <c r="H424" s="673">
        <v>100</v>
      </c>
      <c r="I424" s="665" t="s">
        <v>504</v>
      </c>
      <c r="J424" s="132">
        <v>0</v>
      </c>
      <c r="K424" s="153">
        <v>6</v>
      </c>
      <c r="L424" s="744"/>
      <c r="M424" s="764"/>
      <c r="N424" s="732"/>
      <c r="O424" s="735"/>
      <c r="P424" s="673" t="s">
        <v>41</v>
      </c>
      <c r="Q424" s="346">
        <v>0</v>
      </c>
      <c r="R424" s="346">
        <v>0</v>
      </c>
      <c r="S424" s="346">
        <v>0</v>
      </c>
      <c r="T424" s="346">
        <v>0</v>
      </c>
      <c r="U424" s="346">
        <v>0</v>
      </c>
      <c r="V424" s="346">
        <v>0</v>
      </c>
      <c r="W424" s="346"/>
      <c r="X424" s="346"/>
      <c r="Y424" s="346"/>
      <c r="Z424" s="346">
        <v>0</v>
      </c>
      <c r="AA424" s="346">
        <v>0</v>
      </c>
      <c r="AB424" s="349"/>
      <c r="AC424" s="349"/>
      <c r="AD424" s="346">
        <v>0</v>
      </c>
      <c r="AE424" s="346">
        <v>0</v>
      </c>
      <c r="AF424" s="347">
        <f>16050000+8025000</f>
        <v>24075000</v>
      </c>
      <c r="AG424" s="360"/>
      <c r="AH424" s="346">
        <v>0</v>
      </c>
      <c r="AI424" s="348"/>
      <c r="AJ424" s="348"/>
      <c r="AK424" s="346">
        <f>Q424+R424+S424+T424+U424+V424+W424+X424+Y424+Z424+AA424+AB424+AC424+AD424+AE424+AF424+AG424+AH424+AI424+AJ424</f>
        <v>24075000</v>
      </c>
    </row>
    <row r="425" spans="1:37" ht="76.5" customHeight="1" x14ac:dyDescent="0.2">
      <c r="A425" s="167"/>
      <c r="B425" s="16"/>
      <c r="C425" s="655"/>
      <c r="D425" s="23"/>
      <c r="E425" s="242"/>
      <c r="F425" s="246"/>
      <c r="G425" s="23"/>
      <c r="H425" s="673">
        <v>101</v>
      </c>
      <c r="I425" s="665" t="s">
        <v>505</v>
      </c>
      <c r="J425" s="132">
        <v>0</v>
      </c>
      <c r="K425" s="153">
        <v>54</v>
      </c>
      <c r="L425" s="744"/>
      <c r="M425" s="764"/>
      <c r="N425" s="732"/>
      <c r="O425" s="735"/>
      <c r="P425" s="673" t="s">
        <v>41</v>
      </c>
      <c r="Q425" s="346">
        <v>0</v>
      </c>
      <c r="R425" s="346">
        <v>0</v>
      </c>
      <c r="S425" s="346">
        <v>0</v>
      </c>
      <c r="T425" s="346">
        <v>0</v>
      </c>
      <c r="U425" s="346">
        <v>0</v>
      </c>
      <c r="V425" s="346">
        <v>0</v>
      </c>
      <c r="W425" s="346"/>
      <c r="X425" s="346"/>
      <c r="Y425" s="346"/>
      <c r="Z425" s="346">
        <v>0</v>
      </c>
      <c r="AA425" s="346">
        <v>0</v>
      </c>
      <c r="AB425" s="349"/>
      <c r="AC425" s="349"/>
      <c r="AD425" s="346">
        <v>0</v>
      </c>
      <c r="AE425" s="346">
        <v>0</v>
      </c>
      <c r="AF425" s="347">
        <v>0</v>
      </c>
      <c r="AG425" s="360"/>
      <c r="AH425" s="346">
        <v>0</v>
      </c>
      <c r="AI425" s="348"/>
      <c r="AJ425" s="348"/>
      <c r="AK425" s="346">
        <f>Q425+R425+S425+T425+U425+V425+W425+X425+Y425+Z425+AA425+AB425+AC425+AD425+AE425+AF425+AG425+AH425+AI425+AJ425</f>
        <v>0</v>
      </c>
    </row>
    <row r="426" spans="1:37" ht="76.5" customHeight="1" x14ac:dyDescent="0.2">
      <c r="A426" s="167"/>
      <c r="B426" s="16"/>
      <c r="C426" s="638"/>
      <c r="D426" s="23"/>
      <c r="E426" s="242"/>
      <c r="F426" s="242"/>
      <c r="G426" s="65"/>
      <c r="H426" s="673">
        <v>102</v>
      </c>
      <c r="I426" s="665" t="s">
        <v>506</v>
      </c>
      <c r="J426" s="132">
        <v>0</v>
      </c>
      <c r="K426" s="153">
        <v>2</v>
      </c>
      <c r="L426" s="745"/>
      <c r="M426" s="765"/>
      <c r="N426" s="733"/>
      <c r="O426" s="736"/>
      <c r="P426" s="673" t="s">
        <v>54</v>
      </c>
      <c r="Q426" s="346">
        <v>0</v>
      </c>
      <c r="R426" s="346">
        <v>0</v>
      </c>
      <c r="S426" s="346">
        <v>0</v>
      </c>
      <c r="T426" s="346">
        <v>0</v>
      </c>
      <c r="U426" s="346">
        <v>0</v>
      </c>
      <c r="V426" s="346">
        <v>0</v>
      </c>
      <c r="W426" s="346"/>
      <c r="X426" s="346"/>
      <c r="Y426" s="346"/>
      <c r="Z426" s="346">
        <v>0</v>
      </c>
      <c r="AA426" s="346">
        <v>0</v>
      </c>
      <c r="AB426" s="349"/>
      <c r="AC426" s="349"/>
      <c r="AD426" s="346">
        <v>0</v>
      </c>
      <c r="AE426" s="346">
        <v>0</v>
      </c>
      <c r="AF426" s="347">
        <f>0+20000000</f>
        <v>20000000</v>
      </c>
      <c r="AG426" s="360"/>
      <c r="AH426" s="346">
        <v>0</v>
      </c>
      <c r="AI426" s="348"/>
      <c r="AJ426" s="348"/>
      <c r="AK426" s="346">
        <f>Q426+R426+S426+T426+U426+V426+W426+X426+Y426+Z426+AA426+AB426+AC426+AD426+AE426+AF426+AG426+AH426+AI426+AJ426</f>
        <v>20000000</v>
      </c>
    </row>
    <row r="427" spans="1:37" ht="30" customHeight="1" x14ac:dyDescent="0.2">
      <c r="A427" s="167"/>
      <c r="B427" s="16"/>
      <c r="C427" s="649"/>
      <c r="D427" s="644"/>
      <c r="E427" s="249"/>
      <c r="F427" s="249"/>
      <c r="G427" s="30"/>
      <c r="H427" s="31"/>
      <c r="I427" s="30"/>
      <c r="J427" s="154"/>
      <c r="K427" s="159"/>
      <c r="L427" s="159"/>
      <c r="M427" s="596"/>
      <c r="N427" s="31"/>
      <c r="O427" s="30"/>
      <c r="P427" s="31"/>
      <c r="Q427" s="355">
        <f t="shared" ref="Q427:AJ427" si="100">SUM(Q422:Q426)</f>
        <v>0</v>
      </c>
      <c r="R427" s="355">
        <f t="shared" si="100"/>
        <v>0</v>
      </c>
      <c r="S427" s="355">
        <f t="shared" si="100"/>
        <v>0</v>
      </c>
      <c r="T427" s="355">
        <f t="shared" si="100"/>
        <v>0</v>
      </c>
      <c r="U427" s="355">
        <f t="shared" si="100"/>
        <v>0</v>
      </c>
      <c r="V427" s="355">
        <f t="shared" si="100"/>
        <v>0</v>
      </c>
      <c r="W427" s="355">
        <f t="shared" si="100"/>
        <v>0</v>
      </c>
      <c r="X427" s="355">
        <f t="shared" si="100"/>
        <v>0</v>
      </c>
      <c r="Y427" s="355">
        <f t="shared" si="100"/>
        <v>0</v>
      </c>
      <c r="Z427" s="355">
        <f t="shared" si="100"/>
        <v>0</v>
      </c>
      <c r="AA427" s="355">
        <f t="shared" si="100"/>
        <v>0</v>
      </c>
      <c r="AB427" s="355">
        <f t="shared" si="100"/>
        <v>0</v>
      </c>
      <c r="AC427" s="355">
        <f t="shared" si="100"/>
        <v>0</v>
      </c>
      <c r="AD427" s="355">
        <f t="shared" si="100"/>
        <v>0</v>
      </c>
      <c r="AE427" s="355">
        <f t="shared" si="100"/>
        <v>0</v>
      </c>
      <c r="AF427" s="355">
        <f t="shared" si="100"/>
        <v>44075000</v>
      </c>
      <c r="AG427" s="355">
        <f t="shared" si="100"/>
        <v>0</v>
      </c>
      <c r="AH427" s="355">
        <f t="shared" si="100"/>
        <v>0</v>
      </c>
      <c r="AI427" s="355">
        <f t="shared" si="100"/>
        <v>0</v>
      </c>
      <c r="AJ427" s="355">
        <f t="shared" si="100"/>
        <v>0</v>
      </c>
      <c r="AK427" s="355">
        <f>SUM(AK422:AK426)</f>
        <v>44075000</v>
      </c>
    </row>
    <row r="428" spans="1:37" ht="30" customHeight="1" x14ac:dyDescent="0.2">
      <c r="A428" s="167"/>
      <c r="B428" s="16"/>
      <c r="C428" s="116"/>
      <c r="D428" s="44"/>
      <c r="E428" s="228"/>
      <c r="F428" s="228"/>
      <c r="G428" s="44"/>
      <c r="H428" s="116"/>
      <c r="I428" s="44"/>
      <c r="J428" s="45"/>
      <c r="K428" s="160"/>
      <c r="L428" s="168"/>
      <c r="M428" s="585"/>
      <c r="N428" s="345"/>
      <c r="O428" s="74"/>
      <c r="P428" s="116"/>
      <c r="Q428" s="350"/>
      <c r="R428" s="350"/>
      <c r="S428" s="350"/>
      <c r="T428" s="350"/>
      <c r="U428" s="350"/>
      <c r="V428" s="350"/>
      <c r="W428" s="350"/>
      <c r="X428" s="350"/>
      <c r="Y428" s="350"/>
      <c r="Z428" s="350"/>
      <c r="AA428" s="350"/>
      <c r="AB428" s="350"/>
      <c r="AC428" s="350"/>
      <c r="AD428" s="350"/>
      <c r="AE428" s="350"/>
      <c r="AF428" s="352"/>
      <c r="AG428" s="350"/>
      <c r="AH428" s="350"/>
      <c r="AI428" s="350"/>
      <c r="AJ428" s="350"/>
      <c r="AK428" s="354"/>
    </row>
    <row r="429" spans="1:37" ht="30" customHeight="1" x14ac:dyDescent="0.2">
      <c r="A429" s="167"/>
      <c r="B429" s="16"/>
      <c r="C429" s="648"/>
      <c r="D429" s="642"/>
      <c r="E429" s="668"/>
      <c r="F429" s="668"/>
      <c r="G429" s="50">
        <v>24</v>
      </c>
      <c r="H429" s="52" t="s">
        <v>507</v>
      </c>
      <c r="I429" s="52"/>
      <c r="J429" s="52"/>
      <c r="K429" s="119"/>
      <c r="L429" s="119"/>
      <c r="M429" s="581"/>
      <c r="N429" s="136"/>
      <c r="O429" s="52"/>
      <c r="P429" s="52"/>
      <c r="Q429" s="231"/>
      <c r="R429" s="231"/>
      <c r="S429" s="231"/>
      <c r="T429" s="231"/>
      <c r="U429" s="231"/>
      <c r="V429" s="231"/>
      <c r="W429" s="231"/>
      <c r="X429" s="231"/>
      <c r="Y429" s="231"/>
      <c r="Z429" s="231"/>
      <c r="AA429" s="231"/>
      <c r="AB429" s="231"/>
      <c r="AC429" s="231"/>
      <c r="AD429" s="231"/>
      <c r="AE429" s="231"/>
      <c r="AF429" s="359"/>
      <c r="AG429" s="231"/>
      <c r="AH429" s="231"/>
      <c r="AI429" s="231"/>
      <c r="AJ429" s="231"/>
      <c r="AK429" s="233"/>
    </row>
    <row r="430" spans="1:37" s="559" customFormat="1" ht="75" customHeight="1" x14ac:dyDescent="0.2">
      <c r="A430" s="167"/>
      <c r="B430" s="167"/>
      <c r="C430" s="638"/>
      <c r="D430" s="643"/>
      <c r="E430" s="651"/>
      <c r="F430" s="647"/>
      <c r="G430" s="648"/>
      <c r="H430" s="673">
        <v>103</v>
      </c>
      <c r="I430" s="665" t="s">
        <v>508</v>
      </c>
      <c r="J430" s="132">
        <v>3</v>
      </c>
      <c r="K430" s="153">
        <v>3</v>
      </c>
      <c r="L430" s="743">
        <v>2017003630032</v>
      </c>
      <c r="M430" s="763" t="s">
        <v>432</v>
      </c>
      <c r="N430" s="731" t="s">
        <v>509</v>
      </c>
      <c r="O430" s="734" t="s">
        <v>895</v>
      </c>
      <c r="P430" s="673" t="s">
        <v>54</v>
      </c>
      <c r="Q430" s="346">
        <v>0</v>
      </c>
      <c r="R430" s="346">
        <v>0</v>
      </c>
      <c r="S430" s="346">
        <v>0</v>
      </c>
      <c r="T430" s="346">
        <v>0</v>
      </c>
      <c r="U430" s="346">
        <v>0</v>
      </c>
      <c r="V430" s="346">
        <v>0</v>
      </c>
      <c r="W430" s="346">
        <v>0</v>
      </c>
      <c r="X430" s="346"/>
      <c r="Y430" s="346"/>
      <c r="Z430" s="346">
        <v>0</v>
      </c>
      <c r="AA430" s="346">
        <v>0</v>
      </c>
      <c r="AB430" s="347"/>
      <c r="AC430" s="347"/>
      <c r="AD430" s="346">
        <v>0</v>
      </c>
      <c r="AE430" s="346">
        <v>0</v>
      </c>
      <c r="AF430" s="347">
        <f>10000000</f>
        <v>10000000</v>
      </c>
      <c r="AG430" s="374"/>
      <c r="AH430" s="346">
        <v>0</v>
      </c>
      <c r="AI430" s="348"/>
      <c r="AJ430" s="348">
        <v>0</v>
      </c>
      <c r="AK430" s="346">
        <f>Q430+R430+S430+T430+U430+V430+W430+X430+Y430+Z430+AA430+AB430+AC430+AD430+AE430+AF430+AG430+AH430+AI430+AJ430</f>
        <v>10000000</v>
      </c>
    </row>
    <row r="431" spans="1:37" s="559" customFormat="1" ht="75" customHeight="1" x14ac:dyDescent="0.25">
      <c r="A431" s="167"/>
      <c r="B431" s="167"/>
      <c r="C431" s="638">
        <v>17</v>
      </c>
      <c r="D431" s="643" t="s">
        <v>510</v>
      </c>
      <c r="E431" s="651">
        <v>0.63270000000000004</v>
      </c>
      <c r="F431" s="647">
        <v>0.5</v>
      </c>
      <c r="G431" s="638"/>
      <c r="H431" s="673">
        <v>104</v>
      </c>
      <c r="I431" s="665" t="s">
        <v>511</v>
      </c>
      <c r="J431" s="132">
        <v>4</v>
      </c>
      <c r="K431" s="153">
        <v>44</v>
      </c>
      <c r="L431" s="744"/>
      <c r="M431" s="764"/>
      <c r="N431" s="732"/>
      <c r="O431" s="735"/>
      <c r="P431" s="673" t="s">
        <v>54</v>
      </c>
      <c r="Q431" s="346">
        <v>0</v>
      </c>
      <c r="R431" s="346">
        <v>0</v>
      </c>
      <c r="S431" s="346">
        <v>0</v>
      </c>
      <c r="T431" s="346">
        <v>0</v>
      </c>
      <c r="U431" s="346">
        <v>0</v>
      </c>
      <c r="V431" s="346">
        <v>0</v>
      </c>
      <c r="W431" s="346"/>
      <c r="X431" s="346"/>
      <c r="Y431" s="346"/>
      <c r="Z431" s="346">
        <v>0</v>
      </c>
      <c r="AA431" s="346">
        <v>0</v>
      </c>
      <c r="AB431" s="347"/>
      <c r="AC431" s="347"/>
      <c r="AD431" s="346">
        <v>0</v>
      </c>
      <c r="AE431" s="346">
        <v>0</v>
      </c>
      <c r="AF431" s="347">
        <v>10000000</v>
      </c>
      <c r="AG431" s="360"/>
      <c r="AH431" s="346">
        <v>0</v>
      </c>
      <c r="AI431" s="348"/>
      <c r="AJ431" s="348">
        <v>0</v>
      </c>
      <c r="AK431" s="346">
        <f>Q431+R431+S431+T431+U431+V431+W431+X431+Y431+Z431+AA431+AB431+AC431+AD431+AE431+AF431+AG431+AH431+AI431+AJ431</f>
        <v>10000000</v>
      </c>
    </row>
    <row r="432" spans="1:37" s="559" customFormat="1" ht="75" customHeight="1" x14ac:dyDescent="0.25">
      <c r="A432" s="167"/>
      <c r="B432" s="167"/>
      <c r="C432" s="638">
        <v>18</v>
      </c>
      <c r="D432" s="643" t="s">
        <v>512</v>
      </c>
      <c r="E432" s="638">
        <v>6</v>
      </c>
      <c r="F432" s="248">
        <v>12</v>
      </c>
      <c r="G432" s="638"/>
      <c r="H432" s="673">
        <v>105</v>
      </c>
      <c r="I432" s="665" t="s">
        <v>513</v>
      </c>
      <c r="J432" s="132">
        <v>43</v>
      </c>
      <c r="K432" s="153">
        <v>47</v>
      </c>
      <c r="L432" s="744"/>
      <c r="M432" s="764"/>
      <c r="N432" s="732"/>
      <c r="O432" s="735"/>
      <c r="P432" s="673" t="s">
        <v>41</v>
      </c>
      <c r="Q432" s="346">
        <v>0</v>
      </c>
      <c r="R432" s="346">
        <v>0</v>
      </c>
      <c r="S432" s="346">
        <v>0</v>
      </c>
      <c r="T432" s="346">
        <v>0</v>
      </c>
      <c r="U432" s="346">
        <v>0</v>
      </c>
      <c r="V432" s="346">
        <v>0</v>
      </c>
      <c r="W432" s="346"/>
      <c r="X432" s="346"/>
      <c r="Y432" s="346"/>
      <c r="Z432" s="346">
        <v>0</v>
      </c>
      <c r="AA432" s="346">
        <v>0</v>
      </c>
      <c r="AB432" s="347">
        <f>24300000-24300000</f>
        <v>0</v>
      </c>
      <c r="AC432" s="347"/>
      <c r="AD432" s="346">
        <v>0</v>
      </c>
      <c r="AE432" s="346">
        <v>0</v>
      </c>
      <c r="AF432" s="547">
        <f>10000000+270000000+50000000+111511175</f>
        <v>441511175</v>
      </c>
      <c r="AG432" s="347"/>
      <c r="AH432" s="346">
        <v>0</v>
      </c>
      <c r="AI432" s="348"/>
      <c r="AJ432" s="348">
        <v>0</v>
      </c>
      <c r="AK432" s="346">
        <f>Q432+R432+S432+T432+U432+V432+W432+X432+Y432+Z432+AA432+AB432+AC432+AD432+AE432+AF432+AG432+AH432+AI432+AJ432</f>
        <v>441511175</v>
      </c>
    </row>
    <row r="433" spans="1:37" s="559" customFormat="1" ht="75" customHeight="1" x14ac:dyDescent="0.25">
      <c r="A433" s="167"/>
      <c r="B433" s="167"/>
      <c r="C433" s="638">
        <v>20</v>
      </c>
      <c r="D433" s="643" t="s">
        <v>514</v>
      </c>
      <c r="E433" s="651" t="s">
        <v>515</v>
      </c>
      <c r="F433" s="651" t="s">
        <v>516</v>
      </c>
      <c r="G433" s="638"/>
      <c r="H433" s="648">
        <v>106</v>
      </c>
      <c r="I433" s="642" t="s">
        <v>517</v>
      </c>
      <c r="J433" s="133">
        <v>0</v>
      </c>
      <c r="K433" s="661">
        <v>1</v>
      </c>
      <c r="L433" s="745"/>
      <c r="M433" s="764"/>
      <c r="N433" s="732"/>
      <c r="O433" s="735"/>
      <c r="P433" s="648" t="s">
        <v>41</v>
      </c>
      <c r="Q433" s="382">
        <v>0</v>
      </c>
      <c r="R433" s="382">
        <v>0</v>
      </c>
      <c r="S433" s="382">
        <v>0</v>
      </c>
      <c r="T433" s="382">
        <v>0</v>
      </c>
      <c r="U433" s="382">
        <v>0</v>
      </c>
      <c r="V433" s="382">
        <v>0</v>
      </c>
      <c r="W433" s="382"/>
      <c r="X433" s="382"/>
      <c r="Y433" s="382"/>
      <c r="Z433" s="382">
        <v>0</v>
      </c>
      <c r="AA433" s="382">
        <v>0</v>
      </c>
      <c r="AB433" s="347">
        <f>40500000-40500000</f>
        <v>0</v>
      </c>
      <c r="AC433" s="399"/>
      <c r="AD433" s="382">
        <v>0</v>
      </c>
      <c r="AE433" s="382">
        <v>0</v>
      </c>
      <c r="AF433" s="547">
        <f>16000000+30000000</f>
        <v>46000000</v>
      </c>
      <c r="AG433" s="399"/>
      <c r="AH433" s="382">
        <v>0</v>
      </c>
      <c r="AI433" s="409"/>
      <c r="AJ433" s="409">
        <v>0</v>
      </c>
      <c r="AK433" s="346">
        <f>Q433+R433+S433+T433+U433+V433+W433+X433+Y433+Z433+AA433+AB433+AC433+AD433+AE433+AF433+AG433+AH433+AI433+AJ433</f>
        <v>46000000</v>
      </c>
    </row>
    <row r="434" spans="1:37" s="559" customFormat="1" ht="75" customHeight="1" x14ac:dyDescent="0.25">
      <c r="A434" s="167"/>
      <c r="B434" s="167"/>
      <c r="C434" s="648">
        <v>20</v>
      </c>
      <c r="D434" s="642" t="s">
        <v>514</v>
      </c>
      <c r="E434" s="668" t="s">
        <v>515</v>
      </c>
      <c r="F434" s="668" t="s">
        <v>516</v>
      </c>
      <c r="G434" s="673"/>
      <c r="H434" s="673">
        <v>107</v>
      </c>
      <c r="I434" s="665" t="s">
        <v>518</v>
      </c>
      <c r="J434" s="132">
        <v>1</v>
      </c>
      <c r="K434" s="153">
        <v>1</v>
      </c>
      <c r="L434" s="153" t="s">
        <v>519</v>
      </c>
      <c r="M434" s="671" t="s">
        <v>432</v>
      </c>
      <c r="N434" s="80" t="s">
        <v>519</v>
      </c>
      <c r="O434" s="665" t="s">
        <v>520</v>
      </c>
      <c r="P434" s="673" t="s">
        <v>41</v>
      </c>
      <c r="Q434" s="346"/>
      <c r="R434" s="346"/>
      <c r="S434" s="346"/>
      <c r="T434" s="346"/>
      <c r="U434" s="346"/>
      <c r="V434" s="346"/>
      <c r="W434" s="540">
        <f>373504909</f>
        <v>373504909</v>
      </c>
      <c r="X434" s="346"/>
      <c r="Y434" s="346"/>
      <c r="Z434" s="346"/>
      <c r="AA434" s="346"/>
      <c r="AB434" s="347">
        <f>790000-790000</f>
        <v>0</v>
      </c>
      <c r="AC434" s="347"/>
      <c r="AD434" s="346"/>
      <c r="AE434" s="346"/>
      <c r="AF434" s="615">
        <f>45000000+626495091+44752352</f>
        <v>716247443</v>
      </c>
      <c r="AG434" s="360"/>
      <c r="AH434" s="346"/>
      <c r="AI434" s="346"/>
      <c r="AJ434" s="346"/>
      <c r="AK434" s="346">
        <f>Q434+R434+S434+T434+U434+V434+W434+X434+Y434+Z434+AA434+AB434+AC434+AD434+AE434+AF434+AG434+AH434+AI434+AJ434</f>
        <v>1089752352</v>
      </c>
    </row>
    <row r="435" spans="1:37" s="559" customFormat="1" ht="30" customHeight="1" x14ac:dyDescent="0.25">
      <c r="A435" s="167"/>
      <c r="B435" s="29"/>
      <c r="C435" s="649"/>
      <c r="D435" s="644"/>
      <c r="E435" s="249"/>
      <c r="F435" s="249"/>
      <c r="G435" s="250"/>
      <c r="H435" s="129"/>
      <c r="I435" s="250"/>
      <c r="J435" s="251"/>
      <c r="K435" s="252"/>
      <c r="L435" s="252"/>
      <c r="M435" s="597"/>
      <c r="N435" s="129"/>
      <c r="O435" s="250"/>
      <c r="P435" s="129"/>
      <c r="Q435" s="434">
        <f t="shared" ref="Q435:AJ435" si="101">SUM(Q430:Q434)</f>
        <v>0</v>
      </c>
      <c r="R435" s="434">
        <f t="shared" si="101"/>
        <v>0</v>
      </c>
      <c r="S435" s="434">
        <f t="shared" si="101"/>
        <v>0</v>
      </c>
      <c r="T435" s="434">
        <f t="shared" si="101"/>
        <v>0</v>
      </c>
      <c r="U435" s="434">
        <f t="shared" si="101"/>
        <v>0</v>
      </c>
      <c r="V435" s="434">
        <f t="shared" si="101"/>
        <v>0</v>
      </c>
      <c r="W435" s="434">
        <f t="shared" si="101"/>
        <v>373504909</v>
      </c>
      <c r="X435" s="434">
        <f t="shared" si="101"/>
        <v>0</v>
      </c>
      <c r="Y435" s="434">
        <f t="shared" si="101"/>
        <v>0</v>
      </c>
      <c r="Z435" s="434">
        <f t="shared" si="101"/>
        <v>0</v>
      </c>
      <c r="AA435" s="434">
        <f t="shared" si="101"/>
        <v>0</v>
      </c>
      <c r="AB435" s="434">
        <f t="shared" si="101"/>
        <v>0</v>
      </c>
      <c r="AC435" s="434">
        <f t="shared" si="101"/>
        <v>0</v>
      </c>
      <c r="AD435" s="434">
        <f t="shared" si="101"/>
        <v>0</v>
      </c>
      <c r="AE435" s="434">
        <f t="shared" si="101"/>
        <v>0</v>
      </c>
      <c r="AF435" s="434">
        <f t="shared" si="101"/>
        <v>1223758618</v>
      </c>
      <c r="AG435" s="434">
        <f t="shared" si="101"/>
        <v>0</v>
      </c>
      <c r="AH435" s="434">
        <f t="shared" si="101"/>
        <v>0</v>
      </c>
      <c r="AI435" s="434">
        <f t="shared" si="101"/>
        <v>0</v>
      </c>
      <c r="AJ435" s="434">
        <f t="shared" si="101"/>
        <v>0</v>
      </c>
      <c r="AK435" s="434">
        <f>SUM(AK430:AK434)</f>
        <v>1597263527</v>
      </c>
    </row>
    <row r="436" spans="1:37" s="559" customFormat="1" ht="30" customHeight="1" x14ac:dyDescent="0.25">
      <c r="A436" s="16"/>
      <c r="B436" s="253"/>
      <c r="C436" s="35"/>
      <c r="D436" s="34"/>
      <c r="E436" s="234"/>
      <c r="F436" s="234"/>
      <c r="G436" s="34"/>
      <c r="H436" s="35"/>
      <c r="I436" s="34"/>
      <c r="J436" s="170"/>
      <c r="K436" s="163"/>
      <c r="L436" s="163"/>
      <c r="M436" s="598"/>
      <c r="N436" s="35"/>
      <c r="O436" s="34"/>
      <c r="P436" s="35"/>
      <c r="Q436" s="361">
        <f t="shared" ref="Q436:AJ436" si="102">Q435+Q427</f>
        <v>0</v>
      </c>
      <c r="R436" s="361">
        <f t="shared" si="102"/>
        <v>0</v>
      </c>
      <c r="S436" s="361">
        <f t="shared" si="102"/>
        <v>0</v>
      </c>
      <c r="T436" s="361">
        <f t="shared" si="102"/>
        <v>0</v>
      </c>
      <c r="U436" s="361">
        <f t="shared" si="102"/>
        <v>0</v>
      </c>
      <c r="V436" s="361">
        <f t="shared" si="102"/>
        <v>0</v>
      </c>
      <c r="W436" s="361">
        <f t="shared" si="102"/>
        <v>373504909</v>
      </c>
      <c r="X436" s="361">
        <f t="shared" si="102"/>
        <v>0</v>
      </c>
      <c r="Y436" s="361">
        <f t="shared" si="102"/>
        <v>0</v>
      </c>
      <c r="Z436" s="361">
        <f t="shared" si="102"/>
        <v>0</v>
      </c>
      <c r="AA436" s="361">
        <f t="shared" si="102"/>
        <v>0</v>
      </c>
      <c r="AB436" s="361">
        <f t="shared" si="102"/>
        <v>0</v>
      </c>
      <c r="AC436" s="361">
        <f t="shared" si="102"/>
        <v>0</v>
      </c>
      <c r="AD436" s="361">
        <f t="shared" si="102"/>
        <v>0</v>
      </c>
      <c r="AE436" s="361">
        <f t="shared" si="102"/>
        <v>0</v>
      </c>
      <c r="AF436" s="361">
        <f t="shared" si="102"/>
        <v>1267833618</v>
      </c>
      <c r="AG436" s="361">
        <f t="shared" si="102"/>
        <v>0</v>
      </c>
      <c r="AH436" s="361">
        <f t="shared" si="102"/>
        <v>0</v>
      </c>
      <c r="AI436" s="361">
        <f t="shared" si="102"/>
        <v>0</v>
      </c>
      <c r="AJ436" s="361">
        <f t="shared" si="102"/>
        <v>0</v>
      </c>
      <c r="AK436" s="361">
        <f>AK435+AK427</f>
        <v>1641338527</v>
      </c>
    </row>
    <row r="437" spans="1:37" s="559" customFormat="1" ht="30" customHeight="1" x14ac:dyDescent="0.2">
      <c r="A437" s="16"/>
      <c r="B437" s="44"/>
      <c r="C437" s="116"/>
      <c r="D437" s="44"/>
      <c r="E437" s="228"/>
      <c r="F437" s="228"/>
      <c r="G437" s="44"/>
      <c r="H437" s="116"/>
      <c r="I437" s="44"/>
      <c r="J437" s="158"/>
      <c r="K437" s="158"/>
      <c r="L437" s="230"/>
      <c r="M437" s="592"/>
      <c r="N437" s="345"/>
      <c r="O437" s="74"/>
      <c r="P437" s="116"/>
      <c r="Q437" s="350"/>
      <c r="R437" s="350"/>
      <c r="S437" s="350"/>
      <c r="T437" s="350"/>
      <c r="U437" s="350"/>
      <c r="V437" s="350"/>
      <c r="W437" s="683"/>
      <c r="X437" s="350"/>
      <c r="Y437" s="350"/>
      <c r="Z437" s="350"/>
      <c r="AA437" s="350"/>
      <c r="AB437" s="350"/>
      <c r="AC437" s="350"/>
      <c r="AD437" s="350"/>
      <c r="AE437" s="350"/>
      <c r="AF437" s="693" t="s">
        <v>56</v>
      </c>
      <c r="AG437" s="683"/>
      <c r="AH437" s="350"/>
      <c r="AI437" s="350"/>
      <c r="AJ437" s="350"/>
      <c r="AK437" s="354"/>
    </row>
    <row r="438" spans="1:37" s="559" customFormat="1" ht="30" customHeight="1" x14ac:dyDescent="0.25">
      <c r="A438" s="16"/>
      <c r="B438" s="93">
        <v>8</v>
      </c>
      <c r="C438" s="11" t="s">
        <v>521</v>
      </c>
      <c r="D438" s="12"/>
      <c r="E438" s="12"/>
      <c r="F438" s="12"/>
      <c r="G438" s="12"/>
      <c r="H438" s="13"/>
      <c r="I438" s="12"/>
      <c r="J438" s="12"/>
      <c r="K438" s="164"/>
      <c r="L438" s="164"/>
      <c r="M438" s="579"/>
      <c r="N438" s="13"/>
      <c r="O438" s="12"/>
      <c r="P438" s="12"/>
      <c r="Q438" s="357"/>
      <c r="R438" s="357"/>
      <c r="S438" s="357"/>
      <c r="T438" s="357"/>
      <c r="U438" s="357"/>
      <c r="V438" s="357"/>
      <c r="W438" s="357"/>
      <c r="X438" s="357"/>
      <c r="Y438" s="357"/>
      <c r="Z438" s="357"/>
      <c r="AA438" s="357"/>
      <c r="AB438" s="357"/>
      <c r="AC438" s="357"/>
      <c r="AD438" s="357"/>
      <c r="AE438" s="357"/>
      <c r="AF438" s="358"/>
      <c r="AG438" s="357"/>
      <c r="AH438" s="357"/>
      <c r="AI438" s="357"/>
      <c r="AJ438" s="357"/>
      <c r="AK438" s="362"/>
    </row>
    <row r="439" spans="1:37" s="559" customFormat="1" ht="30" customHeight="1" x14ac:dyDescent="0.25">
      <c r="A439" s="16"/>
      <c r="B439" s="48"/>
      <c r="C439" s="648"/>
      <c r="D439" s="642"/>
      <c r="E439" s="648"/>
      <c r="F439" s="648"/>
      <c r="G439" s="181">
        <v>25</v>
      </c>
      <c r="H439" s="52" t="s">
        <v>522</v>
      </c>
      <c r="I439" s="52"/>
      <c r="J439" s="52"/>
      <c r="K439" s="119"/>
      <c r="L439" s="119"/>
      <c r="M439" s="581"/>
      <c r="N439" s="136"/>
      <c r="O439" s="52"/>
      <c r="P439" s="52"/>
      <c r="Q439" s="231"/>
      <c r="R439" s="231"/>
      <c r="S439" s="231"/>
      <c r="T439" s="231"/>
      <c r="U439" s="231"/>
      <c r="V439" s="231"/>
      <c r="W439" s="231"/>
      <c r="X439" s="231"/>
      <c r="Y439" s="231"/>
      <c r="Z439" s="231"/>
      <c r="AA439" s="231"/>
      <c r="AB439" s="231"/>
      <c r="AC439" s="231"/>
      <c r="AD439" s="231"/>
      <c r="AE439" s="231"/>
      <c r="AF439" s="359"/>
      <c r="AG439" s="231"/>
      <c r="AH439" s="231"/>
      <c r="AI439" s="231"/>
      <c r="AJ439" s="231"/>
      <c r="AK439" s="233"/>
    </row>
    <row r="440" spans="1:37" s="559" customFormat="1" ht="66.75" customHeight="1" x14ac:dyDescent="0.25">
      <c r="A440" s="16"/>
      <c r="B440" s="16"/>
      <c r="C440" s="732" t="s">
        <v>523</v>
      </c>
      <c r="D440" s="735" t="s">
        <v>453</v>
      </c>
      <c r="E440" s="750" t="s">
        <v>524</v>
      </c>
      <c r="F440" s="750" t="s">
        <v>525</v>
      </c>
      <c r="G440" s="17"/>
      <c r="H440" s="673">
        <v>108</v>
      </c>
      <c r="I440" s="665" t="s">
        <v>526</v>
      </c>
      <c r="J440" s="132">
        <v>4</v>
      </c>
      <c r="K440" s="153">
        <v>4</v>
      </c>
      <c r="L440" s="743">
        <v>2017003630088</v>
      </c>
      <c r="M440" s="763" t="s">
        <v>432</v>
      </c>
      <c r="N440" s="731" t="s">
        <v>527</v>
      </c>
      <c r="O440" s="734" t="s">
        <v>896</v>
      </c>
      <c r="P440" s="673" t="s">
        <v>41</v>
      </c>
      <c r="Q440" s="408">
        <v>0</v>
      </c>
      <c r="R440" s="408">
        <v>0</v>
      </c>
      <c r="S440" s="408">
        <v>0</v>
      </c>
      <c r="T440" s="408">
        <v>0</v>
      </c>
      <c r="U440" s="408">
        <v>0</v>
      </c>
      <c r="V440" s="408">
        <v>0</v>
      </c>
      <c r="W440" s="408">
        <v>0</v>
      </c>
      <c r="X440" s="408"/>
      <c r="Y440" s="408"/>
      <c r="Z440" s="408">
        <v>0</v>
      </c>
      <c r="AA440" s="408">
        <v>0</v>
      </c>
      <c r="AB440" s="408"/>
      <c r="AC440" s="408"/>
      <c r="AD440" s="408">
        <v>0</v>
      </c>
      <c r="AE440" s="408">
        <v>0</v>
      </c>
      <c r="AF440" s="620">
        <f>10000000+10000000-1812320</f>
        <v>18187680</v>
      </c>
      <c r="AG440" s="366"/>
      <c r="AH440" s="408">
        <v>0</v>
      </c>
      <c r="AI440" s="435"/>
      <c r="AJ440" s="435"/>
      <c r="AK440" s="540">
        <f>Q440+R440+S440+T440+U440+V440+W440+X440+Y440+Z440+AA440+AB440+AC440+AD440+AE440+AF440+AG440+AH440+AI440+AJ440</f>
        <v>18187680</v>
      </c>
    </row>
    <row r="441" spans="1:37" s="559" customFormat="1" ht="66.75" customHeight="1" x14ac:dyDescent="0.25">
      <c r="A441" s="16"/>
      <c r="B441" s="16"/>
      <c r="C441" s="732"/>
      <c r="D441" s="735"/>
      <c r="E441" s="750"/>
      <c r="F441" s="750"/>
      <c r="G441" s="65"/>
      <c r="H441" s="673">
        <v>109</v>
      </c>
      <c r="I441" s="665" t="s">
        <v>528</v>
      </c>
      <c r="J441" s="132">
        <v>0</v>
      </c>
      <c r="K441" s="153">
        <v>52</v>
      </c>
      <c r="L441" s="745"/>
      <c r="M441" s="765"/>
      <c r="N441" s="733"/>
      <c r="O441" s="736"/>
      <c r="P441" s="673" t="s">
        <v>41</v>
      </c>
      <c r="Q441" s="408">
        <v>0</v>
      </c>
      <c r="R441" s="408">
        <v>0</v>
      </c>
      <c r="S441" s="408">
        <v>0</v>
      </c>
      <c r="T441" s="408">
        <v>0</v>
      </c>
      <c r="U441" s="408">
        <v>0</v>
      </c>
      <c r="V441" s="408">
        <v>0</v>
      </c>
      <c r="W441" s="408">
        <v>0</v>
      </c>
      <c r="X441" s="408"/>
      <c r="Y441" s="408"/>
      <c r="Z441" s="408">
        <v>0</v>
      </c>
      <c r="AA441" s="408">
        <v>0</v>
      </c>
      <c r="AB441" s="408"/>
      <c r="AC441" s="408"/>
      <c r="AD441" s="408">
        <v>0</v>
      </c>
      <c r="AE441" s="408">
        <v>0</v>
      </c>
      <c r="AF441" s="620">
        <f>37000000+1812320</f>
        <v>38812320</v>
      </c>
      <c r="AG441" s="366"/>
      <c r="AH441" s="408">
        <v>0</v>
      </c>
      <c r="AI441" s="435"/>
      <c r="AJ441" s="435"/>
      <c r="AK441" s="540">
        <f>Q441+R441+S441+T441+U441+V441+W441+X441+Y441+Z441+AA441+AB441+AC441+AD441+AE441+AF441+AG441+AH441+AI441+AJ441</f>
        <v>38812320</v>
      </c>
    </row>
    <row r="442" spans="1:37" s="559" customFormat="1" ht="30" customHeight="1" x14ac:dyDescent="0.25">
      <c r="A442" s="16"/>
      <c r="B442" s="16"/>
      <c r="C442" s="649"/>
      <c r="D442" s="644"/>
      <c r="E442" s="650"/>
      <c r="F442" s="650"/>
      <c r="G442" s="30"/>
      <c r="H442" s="31"/>
      <c r="I442" s="30"/>
      <c r="J442" s="154"/>
      <c r="K442" s="159"/>
      <c r="L442" s="159"/>
      <c r="M442" s="596"/>
      <c r="N442" s="31"/>
      <c r="O442" s="30"/>
      <c r="P442" s="31"/>
      <c r="Q442" s="436">
        <f t="shared" ref="Q442:AK442" si="103">SUM(Q440:Q441)</f>
        <v>0</v>
      </c>
      <c r="R442" s="436">
        <f t="shared" si="103"/>
        <v>0</v>
      </c>
      <c r="S442" s="436">
        <f t="shared" si="103"/>
        <v>0</v>
      </c>
      <c r="T442" s="436">
        <f t="shared" si="103"/>
        <v>0</v>
      </c>
      <c r="U442" s="436">
        <f t="shared" si="103"/>
        <v>0</v>
      </c>
      <c r="V442" s="436">
        <f t="shared" si="103"/>
        <v>0</v>
      </c>
      <c r="W442" s="436">
        <f t="shared" si="103"/>
        <v>0</v>
      </c>
      <c r="X442" s="436">
        <f t="shared" si="103"/>
        <v>0</v>
      </c>
      <c r="Y442" s="436">
        <f t="shared" si="103"/>
        <v>0</v>
      </c>
      <c r="Z442" s="436">
        <f t="shared" si="103"/>
        <v>0</v>
      </c>
      <c r="AA442" s="436">
        <f t="shared" si="103"/>
        <v>0</v>
      </c>
      <c r="AB442" s="436">
        <f t="shared" si="103"/>
        <v>0</v>
      </c>
      <c r="AC442" s="436">
        <f t="shared" si="103"/>
        <v>0</v>
      </c>
      <c r="AD442" s="436">
        <f t="shared" si="103"/>
        <v>0</v>
      </c>
      <c r="AE442" s="436">
        <f t="shared" si="103"/>
        <v>0</v>
      </c>
      <c r="AF442" s="436">
        <f t="shared" si="103"/>
        <v>57000000</v>
      </c>
      <c r="AG442" s="436">
        <f t="shared" si="103"/>
        <v>0</v>
      </c>
      <c r="AH442" s="436">
        <f t="shared" si="103"/>
        <v>0</v>
      </c>
      <c r="AI442" s="436">
        <f t="shared" si="103"/>
        <v>0</v>
      </c>
      <c r="AJ442" s="436">
        <f t="shared" si="103"/>
        <v>0</v>
      </c>
      <c r="AK442" s="436">
        <f t="shared" si="103"/>
        <v>57000000</v>
      </c>
    </row>
    <row r="443" spans="1:37" s="559" customFormat="1" ht="30" customHeight="1" x14ac:dyDescent="0.25">
      <c r="A443" s="16"/>
      <c r="B443" s="16"/>
      <c r="C443" s="116"/>
      <c r="D443" s="44"/>
      <c r="E443" s="228"/>
      <c r="F443" s="228"/>
      <c r="G443" s="44"/>
      <c r="H443" s="116"/>
      <c r="I443" s="44"/>
      <c r="J443" s="158"/>
      <c r="K443" s="158"/>
      <c r="L443" s="230"/>
      <c r="M443" s="592"/>
      <c r="N443" s="345"/>
      <c r="O443" s="74"/>
      <c r="P443" s="116"/>
      <c r="Q443" s="350"/>
      <c r="R443" s="350"/>
      <c r="S443" s="350"/>
      <c r="T443" s="350"/>
      <c r="U443" s="350"/>
      <c r="V443" s="350"/>
      <c r="W443" s="683"/>
      <c r="X443" s="350"/>
      <c r="Y443" s="350"/>
      <c r="Z443" s="350"/>
      <c r="AA443" s="350"/>
      <c r="AB443" s="350"/>
      <c r="AC443" s="350"/>
      <c r="AD443" s="350"/>
      <c r="AE443" s="350"/>
      <c r="AF443" s="685" t="s">
        <v>56</v>
      </c>
      <c r="AG443" s="683"/>
      <c r="AH443" s="350"/>
      <c r="AI443" s="350"/>
      <c r="AJ443" s="350"/>
      <c r="AK443" s="354"/>
    </row>
    <row r="444" spans="1:37" s="559" customFormat="1" ht="30" customHeight="1" x14ac:dyDescent="0.25">
      <c r="A444" s="16"/>
      <c r="B444" s="16"/>
      <c r="C444" s="648"/>
      <c r="D444" s="642"/>
      <c r="E444" s="667"/>
      <c r="F444" s="667"/>
      <c r="G444" s="181">
        <v>26</v>
      </c>
      <c r="H444" s="52" t="s">
        <v>529</v>
      </c>
      <c r="I444" s="52"/>
      <c r="J444" s="52"/>
      <c r="K444" s="119"/>
      <c r="L444" s="119"/>
      <c r="M444" s="581"/>
      <c r="N444" s="136"/>
      <c r="O444" s="52"/>
      <c r="P444" s="52"/>
      <c r="Q444" s="231"/>
      <c r="R444" s="231"/>
      <c r="S444" s="231" t="s">
        <v>56</v>
      </c>
      <c r="T444" s="231"/>
      <c r="U444" s="231"/>
      <c r="V444" s="231"/>
      <c r="W444" s="231"/>
      <c r="X444" s="231"/>
      <c r="Y444" s="231"/>
      <c r="Z444" s="231"/>
      <c r="AA444" s="231"/>
      <c r="AB444" s="231"/>
      <c r="AC444" s="231"/>
      <c r="AD444" s="231"/>
      <c r="AE444" s="231"/>
      <c r="AF444" s="359"/>
      <c r="AG444" s="231"/>
      <c r="AH444" s="231"/>
      <c r="AI444" s="231"/>
      <c r="AJ444" s="231"/>
      <c r="AK444" s="233"/>
    </row>
    <row r="445" spans="1:37" s="559" customFormat="1" ht="69.75" customHeight="1" x14ac:dyDescent="0.25">
      <c r="A445" s="16"/>
      <c r="B445" s="16"/>
      <c r="C445" s="638" t="s">
        <v>530</v>
      </c>
      <c r="D445" s="643" t="s">
        <v>531</v>
      </c>
      <c r="E445" s="651" t="s">
        <v>532</v>
      </c>
      <c r="F445" s="651" t="s">
        <v>533</v>
      </c>
      <c r="G445" s="665"/>
      <c r="H445" s="673">
        <v>110</v>
      </c>
      <c r="I445" s="665" t="s">
        <v>534</v>
      </c>
      <c r="J445" s="132">
        <v>180</v>
      </c>
      <c r="K445" s="153">
        <v>200</v>
      </c>
      <c r="L445" s="20">
        <v>2017003630096</v>
      </c>
      <c r="M445" s="671" t="s">
        <v>432</v>
      </c>
      <c r="N445" s="673" t="s">
        <v>535</v>
      </c>
      <c r="O445" s="665" t="s">
        <v>897</v>
      </c>
      <c r="P445" s="673" t="s">
        <v>41</v>
      </c>
      <c r="Q445" s="408">
        <v>0</v>
      </c>
      <c r="R445" s="408">
        <v>0</v>
      </c>
      <c r="S445" s="408">
        <v>0</v>
      </c>
      <c r="T445" s="408">
        <v>0</v>
      </c>
      <c r="U445" s="408">
        <v>0</v>
      </c>
      <c r="V445" s="408">
        <v>0</v>
      </c>
      <c r="W445" s="408">
        <v>0</v>
      </c>
      <c r="X445" s="408"/>
      <c r="Y445" s="408"/>
      <c r="Z445" s="408">
        <v>0</v>
      </c>
      <c r="AA445" s="408">
        <v>0</v>
      </c>
      <c r="AB445" s="618">
        <f>2758000000-2000000000-284276509</f>
        <v>473723491</v>
      </c>
      <c r="AC445" s="408"/>
      <c r="AD445" s="408">
        <v>0</v>
      </c>
      <c r="AE445" s="408">
        <v>0</v>
      </c>
      <c r="AF445" s="539">
        <f>0+62000000</f>
        <v>62000000</v>
      </c>
      <c r="AG445" s="366"/>
      <c r="AH445" s="408">
        <v>0</v>
      </c>
      <c r="AI445" s="435"/>
      <c r="AJ445" s="435"/>
      <c r="AK445" s="346">
        <f>Q445+R445+S445+T445+U445+V445+W445+X445+Y445+Z445+AA445+AB445+AC445+AD445+AE445+AF445+AG445+AH445+AI445+AJ445</f>
        <v>535723491</v>
      </c>
    </row>
    <row r="446" spans="1:37" s="559" customFormat="1" ht="30" customHeight="1" x14ac:dyDescent="0.25">
      <c r="A446" s="16"/>
      <c r="B446" s="16"/>
      <c r="C446" s="649"/>
      <c r="D446" s="644"/>
      <c r="E446" s="249"/>
      <c r="F446" s="249"/>
      <c r="G446" s="30"/>
      <c r="H446" s="31"/>
      <c r="I446" s="30"/>
      <c r="J446" s="154"/>
      <c r="K446" s="254"/>
      <c r="L446" s="254"/>
      <c r="M446" s="596"/>
      <c r="N446" s="31"/>
      <c r="O446" s="30"/>
      <c r="P446" s="31"/>
      <c r="Q446" s="436">
        <f t="shared" ref="Q446:AK446" si="104">SUM(Q445)</f>
        <v>0</v>
      </c>
      <c r="R446" s="436">
        <f t="shared" si="104"/>
        <v>0</v>
      </c>
      <c r="S446" s="436">
        <f t="shared" si="104"/>
        <v>0</v>
      </c>
      <c r="T446" s="436">
        <f t="shared" si="104"/>
        <v>0</v>
      </c>
      <c r="U446" s="436">
        <f t="shared" si="104"/>
        <v>0</v>
      </c>
      <c r="V446" s="436">
        <f t="shared" si="104"/>
        <v>0</v>
      </c>
      <c r="W446" s="436">
        <f t="shared" si="104"/>
        <v>0</v>
      </c>
      <c r="X446" s="436">
        <f t="shared" si="104"/>
        <v>0</v>
      </c>
      <c r="Y446" s="436">
        <f t="shared" si="104"/>
        <v>0</v>
      </c>
      <c r="Z446" s="436">
        <f t="shared" si="104"/>
        <v>0</v>
      </c>
      <c r="AA446" s="436">
        <f t="shared" si="104"/>
        <v>0</v>
      </c>
      <c r="AB446" s="436">
        <f t="shared" si="104"/>
        <v>473723491</v>
      </c>
      <c r="AC446" s="436">
        <f t="shared" si="104"/>
        <v>0</v>
      </c>
      <c r="AD446" s="436">
        <f t="shared" si="104"/>
        <v>0</v>
      </c>
      <c r="AE446" s="436">
        <f t="shared" si="104"/>
        <v>0</v>
      </c>
      <c r="AF446" s="436">
        <f t="shared" si="104"/>
        <v>62000000</v>
      </c>
      <c r="AG446" s="436">
        <f t="shared" si="104"/>
        <v>0</v>
      </c>
      <c r="AH446" s="436">
        <f t="shared" si="104"/>
        <v>0</v>
      </c>
      <c r="AI446" s="436">
        <f t="shared" si="104"/>
        <v>0</v>
      </c>
      <c r="AJ446" s="436">
        <f t="shared" si="104"/>
        <v>0</v>
      </c>
      <c r="AK446" s="436">
        <f t="shared" si="104"/>
        <v>535723491</v>
      </c>
    </row>
    <row r="447" spans="1:37" s="559" customFormat="1" ht="30" customHeight="1" x14ac:dyDescent="0.25">
      <c r="A447" s="16"/>
      <c r="B447" s="16"/>
      <c r="C447" s="116"/>
      <c r="D447" s="44"/>
      <c r="E447" s="228"/>
      <c r="F447" s="228"/>
      <c r="G447" s="44"/>
      <c r="H447" s="116"/>
      <c r="I447" s="44"/>
      <c r="J447" s="158"/>
      <c r="K447" s="186"/>
      <c r="L447" s="235"/>
      <c r="M447" s="592"/>
      <c r="N447" s="345"/>
      <c r="O447" s="74"/>
      <c r="P447" s="116"/>
      <c r="Q447" s="350"/>
      <c r="R447" s="351"/>
      <c r="S447" s="350"/>
      <c r="T447" s="350"/>
      <c r="U447" s="350"/>
      <c r="V447" s="350"/>
      <c r="W447" s="683"/>
      <c r="X447" s="350"/>
      <c r="Y447" s="350"/>
      <c r="Z447" s="350"/>
      <c r="AA447" s="350"/>
      <c r="AB447" s="351"/>
      <c r="AC447" s="351"/>
      <c r="AD447" s="350"/>
      <c r="AE447" s="350"/>
      <c r="AF447" s="685"/>
      <c r="AG447" s="683"/>
      <c r="AH447" s="350"/>
      <c r="AI447" s="350"/>
      <c r="AJ447" s="350"/>
      <c r="AK447" s="354"/>
    </row>
    <row r="448" spans="1:37" s="559" customFormat="1" ht="30" customHeight="1" x14ac:dyDescent="0.25">
      <c r="A448" s="16"/>
      <c r="B448" s="16"/>
      <c r="C448" s="648"/>
      <c r="D448" s="642"/>
      <c r="E448" s="667"/>
      <c r="F448" s="667"/>
      <c r="G448" s="181">
        <v>27</v>
      </c>
      <c r="H448" s="52" t="s">
        <v>536</v>
      </c>
      <c r="I448" s="52"/>
      <c r="J448" s="52"/>
      <c r="K448" s="184"/>
      <c r="L448" s="184"/>
      <c r="M448" s="581"/>
      <c r="N448" s="136"/>
      <c r="O448" s="52"/>
      <c r="P448" s="52"/>
      <c r="Q448" s="231"/>
      <c r="R448" s="231"/>
      <c r="S448" s="231"/>
      <c r="T448" s="231"/>
      <c r="U448" s="231"/>
      <c r="V448" s="231"/>
      <c r="W448" s="231"/>
      <c r="X448" s="231"/>
      <c r="Y448" s="231"/>
      <c r="Z448" s="231"/>
      <c r="AA448" s="231"/>
      <c r="AB448" s="231"/>
      <c r="AC448" s="231"/>
      <c r="AD448" s="231"/>
      <c r="AE448" s="231"/>
      <c r="AF448" s="359"/>
      <c r="AG448" s="231"/>
      <c r="AH448" s="231"/>
      <c r="AI448" s="231"/>
      <c r="AJ448" s="231"/>
      <c r="AK448" s="233"/>
    </row>
    <row r="449" spans="1:37" ht="61.5" customHeight="1" x14ac:dyDescent="0.2">
      <c r="A449" s="16"/>
      <c r="B449" s="16"/>
      <c r="C449" s="638" t="s">
        <v>523</v>
      </c>
      <c r="D449" s="643" t="s">
        <v>453</v>
      </c>
      <c r="E449" s="651" t="s">
        <v>537</v>
      </c>
      <c r="F449" s="651" t="s">
        <v>525</v>
      </c>
      <c r="G449" s="17"/>
      <c r="H449" s="673">
        <v>111</v>
      </c>
      <c r="I449" s="665" t="s">
        <v>538</v>
      </c>
      <c r="J449" s="255">
        <v>1</v>
      </c>
      <c r="K449" s="255">
        <v>1</v>
      </c>
      <c r="L449" s="20">
        <v>2017003630087</v>
      </c>
      <c r="M449" s="599" t="s">
        <v>432</v>
      </c>
      <c r="N449" s="673" t="s">
        <v>539</v>
      </c>
      <c r="O449" s="642" t="s">
        <v>898</v>
      </c>
      <c r="P449" s="673" t="s">
        <v>41</v>
      </c>
      <c r="Q449" s="408">
        <v>0</v>
      </c>
      <c r="R449" s="408">
        <v>0</v>
      </c>
      <c r="S449" s="408">
        <v>0</v>
      </c>
      <c r="T449" s="408">
        <v>0</v>
      </c>
      <c r="U449" s="408">
        <v>0</v>
      </c>
      <c r="V449" s="408">
        <v>0</v>
      </c>
      <c r="W449" s="408">
        <v>0</v>
      </c>
      <c r="X449" s="408"/>
      <c r="Y449" s="408"/>
      <c r="Z449" s="408">
        <v>0</v>
      </c>
      <c r="AA449" s="408">
        <v>0</v>
      </c>
      <c r="AB449" s="613">
        <f>19000000000-764054472-2285787158</f>
        <v>15950158370</v>
      </c>
      <c r="AC449" s="437"/>
      <c r="AD449" s="408">
        <v>0</v>
      </c>
      <c r="AE449" s="408">
        <v>0</v>
      </c>
      <c r="AF449" s="539">
        <f>200000000+27000000</f>
        <v>227000000</v>
      </c>
      <c r="AG449" s="366"/>
      <c r="AH449" s="408">
        <v>0</v>
      </c>
      <c r="AI449" s="435"/>
      <c r="AJ449" s="435"/>
      <c r="AK449" s="346">
        <f>Q449+R449+S449+T449+U449+V449+W449+X449+Y449+Z449+AA449+AB449+AC449+AD449+AE449+AF449+AG449+AH449+AI449+AJ449</f>
        <v>16177158370</v>
      </c>
    </row>
    <row r="450" spans="1:37" ht="30" customHeight="1" x14ac:dyDescent="0.2">
      <c r="A450" s="16"/>
      <c r="B450" s="16"/>
      <c r="C450" s="649"/>
      <c r="D450" s="644"/>
      <c r="E450" s="247"/>
      <c r="F450" s="247"/>
      <c r="G450" s="30"/>
      <c r="H450" s="31"/>
      <c r="I450" s="30"/>
      <c r="J450" s="256"/>
      <c r="K450" s="257"/>
      <c r="L450" s="257"/>
      <c r="M450" s="600"/>
      <c r="N450" s="31"/>
      <c r="O450" s="30"/>
      <c r="P450" s="31"/>
      <c r="Q450" s="401">
        <f t="shared" ref="Q450:W450" si="105">SUM(Q449:Q449)</f>
        <v>0</v>
      </c>
      <c r="R450" s="401">
        <f t="shared" si="105"/>
        <v>0</v>
      </c>
      <c r="S450" s="401">
        <f t="shared" si="105"/>
        <v>0</v>
      </c>
      <c r="T450" s="401">
        <f t="shared" si="105"/>
        <v>0</v>
      </c>
      <c r="U450" s="401">
        <f t="shared" si="105"/>
        <v>0</v>
      </c>
      <c r="V450" s="401">
        <f t="shared" si="105"/>
        <v>0</v>
      </c>
      <c r="W450" s="401">
        <f t="shared" si="105"/>
        <v>0</v>
      </c>
      <c r="X450" s="401"/>
      <c r="Y450" s="401"/>
      <c r="Z450" s="401">
        <f>SUM(Z449:Z449)</f>
        <v>0</v>
      </c>
      <c r="AA450" s="401">
        <f t="shared" ref="AA450:AF450" si="106">SUM(AA449:AA449)</f>
        <v>0</v>
      </c>
      <c r="AB450" s="436">
        <f t="shared" si="106"/>
        <v>15950158370</v>
      </c>
      <c r="AC450" s="436">
        <f t="shared" si="106"/>
        <v>0</v>
      </c>
      <c r="AD450" s="436">
        <f t="shared" si="106"/>
        <v>0</v>
      </c>
      <c r="AE450" s="436">
        <f t="shared" si="106"/>
        <v>0</v>
      </c>
      <c r="AF450" s="438">
        <f t="shared" si="106"/>
        <v>227000000</v>
      </c>
      <c r="AG450" s="439"/>
      <c r="AH450" s="436">
        <f>SUM(AH449:AH449)</f>
        <v>0</v>
      </c>
      <c r="AI450" s="436"/>
      <c r="AJ450" s="436"/>
      <c r="AK450" s="436">
        <f>SUM(AK449:AK449)</f>
        <v>16177158370</v>
      </c>
    </row>
    <row r="451" spans="1:37" ht="30" customHeight="1" x14ac:dyDescent="0.2">
      <c r="A451" s="16"/>
      <c r="B451" s="16"/>
      <c r="C451" s="116"/>
      <c r="D451" s="44"/>
      <c r="E451" s="228"/>
      <c r="F451" s="228"/>
      <c r="G451" s="44"/>
      <c r="H451" s="116"/>
      <c r="I451" s="44"/>
      <c r="J451" s="158"/>
      <c r="K451" s="158"/>
      <c r="L451" s="230"/>
      <c r="M451" s="592"/>
      <c r="N451" s="345"/>
      <c r="O451" s="74"/>
      <c r="P451" s="116"/>
      <c r="Q451" s="350"/>
      <c r="R451" s="351"/>
      <c r="S451" s="350"/>
      <c r="T451" s="350"/>
      <c r="U451" s="350"/>
      <c r="V451" s="350"/>
      <c r="W451" s="683"/>
      <c r="X451" s="350"/>
      <c r="Y451" s="350"/>
      <c r="Z451" s="350"/>
      <c r="AA451" s="350"/>
      <c r="AB451" s="350"/>
      <c r="AC451" s="350"/>
      <c r="AD451" s="350"/>
      <c r="AE451" s="350"/>
      <c r="AF451" s="685"/>
      <c r="AG451" s="683"/>
      <c r="AH451" s="350"/>
      <c r="AI451" s="350"/>
      <c r="AJ451" s="350"/>
      <c r="AK451" s="354"/>
    </row>
    <row r="452" spans="1:37" ht="30" customHeight="1" x14ac:dyDescent="0.2">
      <c r="A452" s="16"/>
      <c r="B452" s="16"/>
      <c r="C452" s="648"/>
      <c r="D452" s="642"/>
      <c r="E452" s="667"/>
      <c r="F452" s="667"/>
      <c r="G452" s="181">
        <v>28</v>
      </c>
      <c r="H452" s="52" t="s">
        <v>540</v>
      </c>
      <c r="I452" s="52"/>
      <c r="J452" s="52"/>
      <c r="K452" s="119"/>
      <c r="L452" s="119"/>
      <c r="M452" s="581"/>
      <c r="N452" s="136"/>
      <c r="O452" s="52"/>
      <c r="P452" s="52"/>
      <c r="Q452" s="231"/>
      <c r="R452" s="231"/>
      <c r="S452" s="231"/>
      <c r="T452" s="231"/>
      <c r="U452" s="231"/>
      <c r="V452" s="231"/>
      <c r="W452" s="231"/>
      <c r="X452" s="231"/>
      <c r="Y452" s="231"/>
      <c r="Z452" s="231"/>
      <c r="AA452" s="231"/>
      <c r="AB452" s="231"/>
      <c r="AC452" s="231"/>
      <c r="AD452" s="231"/>
      <c r="AE452" s="231"/>
      <c r="AF452" s="359"/>
      <c r="AG452" s="231"/>
      <c r="AH452" s="231"/>
      <c r="AI452" s="231"/>
      <c r="AJ452" s="231"/>
      <c r="AK452" s="233"/>
    </row>
    <row r="453" spans="1:37" ht="51.75" customHeight="1" x14ac:dyDescent="0.2">
      <c r="A453" s="16"/>
      <c r="B453" s="16"/>
      <c r="C453" s="732" t="s">
        <v>523</v>
      </c>
      <c r="D453" s="735" t="s">
        <v>453</v>
      </c>
      <c r="E453" s="750" t="s">
        <v>524</v>
      </c>
      <c r="F453" s="750" t="s">
        <v>525</v>
      </c>
      <c r="G453" s="17"/>
      <c r="H453" s="673">
        <v>112</v>
      </c>
      <c r="I453" s="665" t="s">
        <v>541</v>
      </c>
      <c r="J453" s="132">
        <v>0</v>
      </c>
      <c r="K453" s="153">
        <v>20</v>
      </c>
      <c r="L453" s="743">
        <v>2017003630026</v>
      </c>
      <c r="M453" s="763" t="s">
        <v>432</v>
      </c>
      <c r="N453" s="774" t="s">
        <v>542</v>
      </c>
      <c r="O453" s="734" t="s">
        <v>899</v>
      </c>
      <c r="P453" s="673" t="s">
        <v>54</v>
      </c>
      <c r="Q453" s="408">
        <v>0</v>
      </c>
      <c r="R453" s="408">
        <v>0</v>
      </c>
      <c r="S453" s="408">
        <v>0</v>
      </c>
      <c r="T453" s="408">
        <v>0</v>
      </c>
      <c r="U453" s="408">
        <v>0</v>
      </c>
      <c r="V453" s="408">
        <v>0</v>
      </c>
      <c r="W453" s="374"/>
      <c r="X453" s="408"/>
      <c r="Y453" s="408"/>
      <c r="Z453" s="408">
        <v>0</v>
      </c>
      <c r="AA453" s="408">
        <v>0</v>
      </c>
      <c r="AB453" s="440"/>
      <c r="AC453" s="441"/>
      <c r="AD453" s="408">
        <v>0</v>
      </c>
      <c r="AE453" s="408">
        <v>0</v>
      </c>
      <c r="AF453" s="539">
        <f>10000000-8000000</f>
        <v>2000000</v>
      </c>
      <c r="AG453" s="366"/>
      <c r="AH453" s="408">
        <v>0</v>
      </c>
      <c r="AI453" s="435"/>
      <c r="AJ453" s="435"/>
      <c r="AK453" s="346">
        <f>Q453+R453+S453+T453+U453+V453+W453+X453+Y453+Z453+AA453+AB453+AC453+AD453+AE453+AF453+AG453+AH453+AI453+AJ453</f>
        <v>2000000</v>
      </c>
    </row>
    <row r="454" spans="1:37" ht="51.75" customHeight="1" x14ac:dyDescent="0.2">
      <c r="A454" s="16"/>
      <c r="B454" s="16"/>
      <c r="C454" s="732"/>
      <c r="D454" s="735"/>
      <c r="E454" s="750"/>
      <c r="F454" s="750"/>
      <c r="G454" s="65"/>
      <c r="H454" s="673">
        <v>113</v>
      </c>
      <c r="I454" s="665" t="s">
        <v>543</v>
      </c>
      <c r="J454" s="132">
        <v>0</v>
      </c>
      <c r="K454" s="153">
        <v>3</v>
      </c>
      <c r="L454" s="745"/>
      <c r="M454" s="765"/>
      <c r="N454" s="775"/>
      <c r="O454" s="736"/>
      <c r="P454" s="673" t="s">
        <v>54</v>
      </c>
      <c r="Q454" s="408">
        <v>0</v>
      </c>
      <c r="R454" s="408">
        <v>0</v>
      </c>
      <c r="S454" s="408">
        <v>0</v>
      </c>
      <c r="T454" s="408">
        <v>0</v>
      </c>
      <c r="U454" s="408">
        <v>0</v>
      </c>
      <c r="V454" s="408">
        <v>0</v>
      </c>
      <c r="W454" s="374"/>
      <c r="X454" s="408"/>
      <c r="Y454" s="408"/>
      <c r="Z454" s="408">
        <v>0</v>
      </c>
      <c r="AA454" s="408">
        <v>0</v>
      </c>
      <c r="AB454" s="103"/>
      <c r="AC454" s="103"/>
      <c r="AD454" s="408">
        <v>0</v>
      </c>
      <c r="AE454" s="408">
        <v>0</v>
      </c>
      <c r="AF454" s="539">
        <f>11000000+8000000+8000000</f>
        <v>27000000</v>
      </c>
      <c r="AG454" s="366"/>
      <c r="AH454" s="408">
        <v>0</v>
      </c>
      <c r="AI454" s="435"/>
      <c r="AJ454" s="435"/>
      <c r="AK454" s="346">
        <f>Q454+R454+S454+T454+U454+V454+W454+X454+Y454+Z454+AA454+AB454+AC454+AD454+AE454+AF454+AG454+AH454+AI454+AJ454</f>
        <v>27000000</v>
      </c>
    </row>
    <row r="455" spans="1:37" s="560" customFormat="1" ht="30" customHeight="1" x14ac:dyDescent="0.25">
      <c r="A455" s="259"/>
      <c r="B455" s="260"/>
      <c r="C455" s="649"/>
      <c r="D455" s="341"/>
      <c r="E455" s="341"/>
      <c r="F455" s="341"/>
      <c r="G455" s="1"/>
      <c r="H455" s="31"/>
      <c r="I455" s="1"/>
      <c r="J455" s="258"/>
      <c r="K455" s="261"/>
      <c r="L455" s="261"/>
      <c r="M455" s="596"/>
      <c r="N455" s="31"/>
      <c r="O455" s="1"/>
      <c r="P455" s="1"/>
      <c r="Q455" s="436">
        <f t="shared" ref="Q455:AK455" si="107">SUM(Q453:Q454)</f>
        <v>0</v>
      </c>
      <c r="R455" s="436">
        <f t="shared" si="107"/>
        <v>0</v>
      </c>
      <c r="S455" s="436">
        <f t="shared" si="107"/>
        <v>0</v>
      </c>
      <c r="T455" s="436">
        <f t="shared" si="107"/>
        <v>0</v>
      </c>
      <c r="U455" s="436">
        <f t="shared" si="107"/>
        <v>0</v>
      </c>
      <c r="V455" s="436">
        <f t="shared" si="107"/>
        <v>0</v>
      </c>
      <c r="W455" s="436">
        <f t="shared" si="107"/>
        <v>0</v>
      </c>
      <c r="X455" s="436">
        <f t="shared" si="107"/>
        <v>0</v>
      </c>
      <c r="Y455" s="436">
        <f t="shared" si="107"/>
        <v>0</v>
      </c>
      <c r="Z455" s="436">
        <f t="shared" si="107"/>
        <v>0</v>
      </c>
      <c r="AA455" s="436">
        <f t="shared" si="107"/>
        <v>0</v>
      </c>
      <c r="AB455" s="436">
        <f t="shared" si="107"/>
        <v>0</v>
      </c>
      <c r="AC455" s="436">
        <f t="shared" si="107"/>
        <v>0</v>
      </c>
      <c r="AD455" s="436">
        <f t="shared" si="107"/>
        <v>0</v>
      </c>
      <c r="AE455" s="436">
        <f t="shared" si="107"/>
        <v>0</v>
      </c>
      <c r="AF455" s="436">
        <f t="shared" si="107"/>
        <v>29000000</v>
      </c>
      <c r="AG455" s="436">
        <f t="shared" si="107"/>
        <v>0</v>
      </c>
      <c r="AH455" s="436">
        <f t="shared" si="107"/>
        <v>0</v>
      </c>
      <c r="AI455" s="436">
        <f t="shared" si="107"/>
        <v>0</v>
      </c>
      <c r="AJ455" s="436">
        <f t="shared" si="107"/>
        <v>0</v>
      </c>
      <c r="AK455" s="436">
        <f t="shared" si="107"/>
        <v>29000000</v>
      </c>
    </row>
    <row r="456" spans="1:37" s="561" customFormat="1" ht="30" customHeight="1" x14ac:dyDescent="0.2">
      <c r="A456" s="259"/>
      <c r="B456" s="262"/>
      <c r="C456" s="35"/>
      <c r="D456" s="2"/>
      <c r="E456" s="2"/>
      <c r="F456" s="2"/>
      <c r="G456" s="2"/>
      <c r="H456" s="35"/>
      <c r="I456" s="2"/>
      <c r="J456" s="263"/>
      <c r="K456" s="264"/>
      <c r="L456" s="264"/>
      <c r="M456" s="598"/>
      <c r="N456" s="35"/>
      <c r="O456" s="2"/>
      <c r="P456" s="2"/>
      <c r="Q456" s="442">
        <f t="shared" ref="Q456:AJ456" si="108">Q455+Q450+Q446+Q442</f>
        <v>0</v>
      </c>
      <c r="R456" s="442">
        <f t="shared" si="108"/>
        <v>0</v>
      </c>
      <c r="S456" s="442">
        <f t="shared" si="108"/>
        <v>0</v>
      </c>
      <c r="T456" s="442">
        <f t="shared" si="108"/>
        <v>0</v>
      </c>
      <c r="U456" s="442">
        <f t="shared" si="108"/>
        <v>0</v>
      </c>
      <c r="V456" s="442">
        <f t="shared" si="108"/>
        <v>0</v>
      </c>
      <c r="W456" s="442">
        <f t="shared" si="108"/>
        <v>0</v>
      </c>
      <c r="X456" s="442">
        <f t="shared" si="108"/>
        <v>0</v>
      </c>
      <c r="Y456" s="442">
        <f t="shared" si="108"/>
        <v>0</v>
      </c>
      <c r="Z456" s="442">
        <f t="shared" si="108"/>
        <v>0</v>
      </c>
      <c r="AA456" s="442">
        <f t="shared" si="108"/>
        <v>0</v>
      </c>
      <c r="AB456" s="442">
        <f t="shared" si="108"/>
        <v>16423881861</v>
      </c>
      <c r="AC456" s="442">
        <f t="shared" si="108"/>
        <v>0</v>
      </c>
      <c r="AD456" s="442">
        <f t="shared" si="108"/>
        <v>0</v>
      </c>
      <c r="AE456" s="442">
        <f t="shared" si="108"/>
        <v>0</v>
      </c>
      <c r="AF456" s="442">
        <f>AF455+AF450+AF446+AF442</f>
        <v>375000000</v>
      </c>
      <c r="AG456" s="442">
        <f t="shared" si="108"/>
        <v>0</v>
      </c>
      <c r="AH456" s="442">
        <f t="shared" si="108"/>
        <v>0</v>
      </c>
      <c r="AI456" s="442">
        <f t="shared" si="108"/>
        <v>0</v>
      </c>
      <c r="AJ456" s="442">
        <f t="shared" si="108"/>
        <v>0</v>
      </c>
      <c r="AK456" s="442">
        <f>AK455+AK450+AK446+AK442</f>
        <v>16798881861</v>
      </c>
    </row>
    <row r="457" spans="1:37" ht="30" customHeight="1" x14ac:dyDescent="0.2">
      <c r="A457" s="16"/>
      <c r="B457" s="44"/>
      <c r="C457" s="116"/>
      <c r="D457" s="44"/>
      <c r="E457" s="228"/>
      <c r="F457" s="228"/>
      <c r="G457" s="44"/>
      <c r="H457" s="116"/>
      <c r="I457" s="44"/>
      <c r="J457" s="158"/>
      <c r="K457" s="158"/>
      <c r="L457" s="230"/>
      <c r="M457" s="592"/>
      <c r="N457" s="345"/>
      <c r="O457" s="74"/>
      <c r="P457" s="116"/>
      <c r="Q457" s="350"/>
      <c r="R457" s="351"/>
      <c r="S457" s="350"/>
      <c r="T457" s="350"/>
      <c r="U457" s="350"/>
      <c r="V457" s="350"/>
      <c r="W457" s="683"/>
      <c r="X457" s="350"/>
      <c r="Y457" s="350"/>
      <c r="Z457" s="350"/>
      <c r="AA457" s="350"/>
      <c r="AB457" s="350"/>
      <c r="AC457" s="350"/>
      <c r="AD457" s="350"/>
      <c r="AE457" s="350"/>
      <c r="AF457" s="685" t="s">
        <v>56</v>
      </c>
      <c r="AG457" s="683"/>
      <c r="AH457" s="350"/>
      <c r="AI457" s="350"/>
      <c r="AJ457" s="350"/>
      <c r="AK457" s="350"/>
    </row>
    <row r="458" spans="1:37" ht="30" customHeight="1" x14ac:dyDescent="0.2">
      <c r="A458" s="16"/>
      <c r="B458" s="93">
        <v>16</v>
      </c>
      <c r="C458" s="11" t="s">
        <v>544</v>
      </c>
      <c r="D458" s="12"/>
      <c r="E458" s="12"/>
      <c r="F458" s="12"/>
      <c r="G458" s="12"/>
      <c r="H458" s="13"/>
      <c r="I458" s="12"/>
      <c r="J458" s="12"/>
      <c r="K458" s="164"/>
      <c r="L458" s="164"/>
      <c r="M458" s="579"/>
      <c r="N458" s="13"/>
      <c r="O458" s="12"/>
      <c r="P458" s="12"/>
      <c r="Q458" s="357"/>
      <c r="R458" s="357"/>
      <c r="S458" s="357"/>
      <c r="T458" s="357"/>
      <c r="U458" s="357"/>
      <c r="V458" s="357"/>
      <c r="W458" s="357"/>
      <c r="X458" s="357"/>
      <c r="Y458" s="357"/>
      <c r="Z458" s="357"/>
      <c r="AA458" s="357"/>
      <c r="AB458" s="357"/>
      <c r="AC458" s="357"/>
      <c r="AD458" s="357"/>
      <c r="AE458" s="357"/>
      <c r="AF458" s="358"/>
      <c r="AG458" s="357"/>
      <c r="AH458" s="357"/>
      <c r="AI458" s="357"/>
      <c r="AJ458" s="357"/>
      <c r="AK458" s="362"/>
    </row>
    <row r="459" spans="1:37" ht="30" customHeight="1" x14ac:dyDescent="0.2">
      <c r="A459" s="16"/>
      <c r="B459" s="48"/>
      <c r="C459" s="648"/>
      <c r="D459" s="642"/>
      <c r="E459" s="648"/>
      <c r="F459" s="648"/>
      <c r="G459" s="181">
        <v>57</v>
      </c>
      <c r="H459" s="52" t="s">
        <v>545</v>
      </c>
      <c r="I459" s="52"/>
      <c r="J459" s="52"/>
      <c r="K459" s="119"/>
      <c r="L459" s="119"/>
      <c r="M459" s="581"/>
      <c r="N459" s="136"/>
      <c r="O459" s="52"/>
      <c r="P459" s="52"/>
      <c r="Q459" s="231"/>
      <c r="R459" s="231"/>
      <c r="S459" s="231"/>
      <c r="T459" s="231"/>
      <c r="U459" s="231"/>
      <c r="V459" s="231"/>
      <c r="W459" s="231"/>
      <c r="X459" s="231"/>
      <c r="Y459" s="231"/>
      <c r="Z459" s="231"/>
      <c r="AA459" s="231"/>
      <c r="AB459" s="231"/>
      <c r="AC459" s="231"/>
      <c r="AD459" s="231"/>
      <c r="AE459" s="231"/>
      <c r="AF459" s="359"/>
      <c r="AG459" s="231"/>
      <c r="AH459" s="231"/>
      <c r="AI459" s="231"/>
      <c r="AJ459" s="231"/>
      <c r="AK459" s="233"/>
    </row>
    <row r="460" spans="1:37" ht="156.75" customHeight="1" x14ac:dyDescent="0.2">
      <c r="A460" s="16"/>
      <c r="B460" s="16"/>
      <c r="C460" s="656" t="s">
        <v>546</v>
      </c>
      <c r="D460" s="657" t="s">
        <v>547</v>
      </c>
      <c r="E460" s="651" t="s">
        <v>548</v>
      </c>
      <c r="F460" s="651" t="s">
        <v>549</v>
      </c>
      <c r="G460" s="665"/>
      <c r="H460" s="673">
        <v>182</v>
      </c>
      <c r="I460" s="665" t="s">
        <v>550</v>
      </c>
      <c r="J460" s="132">
        <v>1</v>
      </c>
      <c r="K460" s="132">
        <v>1</v>
      </c>
      <c r="L460" s="20">
        <v>2017003630003</v>
      </c>
      <c r="M460" s="594" t="s">
        <v>432</v>
      </c>
      <c r="N460" s="673" t="s">
        <v>551</v>
      </c>
      <c r="O460" s="665" t="s">
        <v>900</v>
      </c>
      <c r="P460" s="673" t="s">
        <v>41</v>
      </c>
      <c r="Q460" s="346">
        <v>0</v>
      </c>
      <c r="R460" s="346">
        <v>0</v>
      </c>
      <c r="S460" s="346">
        <v>0</v>
      </c>
      <c r="T460" s="346">
        <v>0</v>
      </c>
      <c r="U460" s="346">
        <v>0</v>
      </c>
      <c r="V460" s="346">
        <v>0</v>
      </c>
      <c r="W460" s="346">
        <v>0</v>
      </c>
      <c r="X460" s="346"/>
      <c r="Y460" s="346"/>
      <c r="Z460" s="346">
        <v>0</v>
      </c>
      <c r="AA460" s="346">
        <v>0</v>
      </c>
      <c r="AB460" s="346"/>
      <c r="AC460" s="346"/>
      <c r="AD460" s="346">
        <v>0</v>
      </c>
      <c r="AE460" s="346">
        <v>0</v>
      </c>
      <c r="AF460" s="423">
        <v>29000000</v>
      </c>
      <c r="AG460" s="360"/>
      <c r="AH460" s="346">
        <v>0</v>
      </c>
      <c r="AI460" s="348"/>
      <c r="AJ460" s="348"/>
      <c r="AK460" s="346">
        <f>Q460+R460+S460+T460+U460+V460+W460+X460+Y460+Z460+AA460+AB460+AC460+AD460+AE460+AF460+AG460+AH460+AI460+AJ460</f>
        <v>29000000</v>
      </c>
    </row>
    <row r="461" spans="1:37" ht="30" customHeight="1" x14ac:dyDescent="0.2">
      <c r="A461" s="16"/>
      <c r="B461" s="29"/>
      <c r="C461" s="475"/>
      <c r="D461" s="343"/>
      <c r="E461" s="249"/>
      <c r="F461" s="249"/>
      <c r="G461" s="30"/>
      <c r="H461" s="31"/>
      <c r="I461" s="30"/>
      <c r="J461" s="154"/>
      <c r="K461" s="154"/>
      <c r="L461" s="154"/>
      <c r="M461" s="200"/>
      <c r="N461" s="31"/>
      <c r="O461" s="30"/>
      <c r="P461" s="31"/>
      <c r="Q461" s="355">
        <f t="shared" ref="Q461:AJ461" si="109">SUM(Q460)</f>
        <v>0</v>
      </c>
      <c r="R461" s="355">
        <f t="shared" si="109"/>
        <v>0</v>
      </c>
      <c r="S461" s="355">
        <f t="shared" si="109"/>
        <v>0</v>
      </c>
      <c r="T461" s="355">
        <f t="shared" si="109"/>
        <v>0</v>
      </c>
      <c r="U461" s="355">
        <f t="shared" si="109"/>
        <v>0</v>
      </c>
      <c r="V461" s="355">
        <f t="shared" si="109"/>
        <v>0</v>
      </c>
      <c r="W461" s="355">
        <f t="shared" si="109"/>
        <v>0</v>
      </c>
      <c r="X461" s="355">
        <f t="shared" si="109"/>
        <v>0</v>
      </c>
      <c r="Y461" s="355">
        <f t="shared" si="109"/>
        <v>0</v>
      </c>
      <c r="Z461" s="355">
        <f t="shared" si="109"/>
        <v>0</v>
      </c>
      <c r="AA461" s="355">
        <f t="shared" si="109"/>
        <v>0</v>
      </c>
      <c r="AB461" s="355">
        <f t="shared" si="109"/>
        <v>0</v>
      </c>
      <c r="AC461" s="355">
        <f t="shared" si="109"/>
        <v>0</v>
      </c>
      <c r="AD461" s="355">
        <f t="shared" si="109"/>
        <v>0</v>
      </c>
      <c r="AE461" s="355">
        <f t="shared" si="109"/>
        <v>0</v>
      </c>
      <c r="AF461" s="355">
        <f t="shared" si="109"/>
        <v>29000000</v>
      </c>
      <c r="AG461" s="355">
        <f t="shared" si="109"/>
        <v>0</v>
      </c>
      <c r="AH461" s="355">
        <f t="shared" si="109"/>
        <v>0</v>
      </c>
      <c r="AI461" s="355">
        <f t="shared" si="109"/>
        <v>0</v>
      </c>
      <c r="AJ461" s="355">
        <f t="shared" si="109"/>
        <v>0</v>
      </c>
      <c r="AK461" s="355">
        <f>SUM(AK460)</f>
        <v>29000000</v>
      </c>
    </row>
    <row r="462" spans="1:37" s="562" customFormat="1" ht="30" customHeight="1" x14ac:dyDescent="0.2">
      <c r="A462" s="29"/>
      <c r="B462" s="265"/>
      <c r="C462" s="266"/>
      <c r="D462" s="267"/>
      <c r="E462" s="234"/>
      <c r="F462" s="234"/>
      <c r="G462" s="34"/>
      <c r="H462" s="35"/>
      <c r="I462" s="34"/>
      <c r="J462" s="170"/>
      <c r="K462" s="170"/>
      <c r="L462" s="170"/>
      <c r="M462" s="595"/>
      <c r="N462" s="35"/>
      <c r="O462" s="34"/>
      <c r="P462" s="35"/>
      <c r="Q462" s="361">
        <f t="shared" ref="Q462:AJ462" si="110">Q461</f>
        <v>0</v>
      </c>
      <c r="R462" s="361">
        <f t="shared" si="110"/>
        <v>0</v>
      </c>
      <c r="S462" s="361">
        <f t="shared" si="110"/>
        <v>0</v>
      </c>
      <c r="T462" s="361">
        <f t="shared" si="110"/>
        <v>0</v>
      </c>
      <c r="U462" s="361">
        <f t="shared" si="110"/>
        <v>0</v>
      </c>
      <c r="V462" s="361">
        <f t="shared" si="110"/>
        <v>0</v>
      </c>
      <c r="W462" s="361">
        <f t="shared" si="110"/>
        <v>0</v>
      </c>
      <c r="X462" s="361">
        <f t="shared" si="110"/>
        <v>0</v>
      </c>
      <c r="Y462" s="361">
        <f t="shared" si="110"/>
        <v>0</v>
      </c>
      <c r="Z462" s="361">
        <f t="shared" si="110"/>
        <v>0</v>
      </c>
      <c r="AA462" s="361">
        <f t="shared" si="110"/>
        <v>0</v>
      </c>
      <c r="AB462" s="361">
        <f t="shared" si="110"/>
        <v>0</v>
      </c>
      <c r="AC462" s="361">
        <f t="shared" si="110"/>
        <v>0</v>
      </c>
      <c r="AD462" s="361">
        <f t="shared" si="110"/>
        <v>0</v>
      </c>
      <c r="AE462" s="361">
        <f t="shared" si="110"/>
        <v>0</v>
      </c>
      <c r="AF462" s="361">
        <f t="shared" si="110"/>
        <v>29000000</v>
      </c>
      <c r="AG462" s="361">
        <f t="shared" si="110"/>
        <v>0</v>
      </c>
      <c r="AH462" s="361">
        <f t="shared" si="110"/>
        <v>0</v>
      </c>
      <c r="AI462" s="361">
        <f t="shared" si="110"/>
        <v>0</v>
      </c>
      <c r="AJ462" s="361">
        <f t="shared" si="110"/>
        <v>0</v>
      </c>
      <c r="AK462" s="361">
        <f>AK461</f>
        <v>29000000</v>
      </c>
    </row>
    <row r="463" spans="1:37" ht="30" customHeight="1" x14ac:dyDescent="0.2">
      <c r="A463" s="37"/>
      <c r="B463" s="268"/>
      <c r="C463" s="269"/>
      <c r="D463" s="268"/>
      <c r="E463" s="270"/>
      <c r="F463" s="270"/>
      <c r="G463" s="37"/>
      <c r="H463" s="38"/>
      <c r="I463" s="37"/>
      <c r="J463" s="173"/>
      <c r="K463" s="173"/>
      <c r="L463" s="173"/>
      <c r="M463" s="601"/>
      <c r="N463" s="38"/>
      <c r="O463" s="37"/>
      <c r="P463" s="38"/>
      <c r="Q463" s="367">
        <f t="shared" ref="Q463:AJ463" si="111">Q462+Q456+Q436+Q418+Q381</f>
        <v>0</v>
      </c>
      <c r="R463" s="367">
        <f t="shared" si="111"/>
        <v>0</v>
      </c>
      <c r="S463" s="367">
        <f t="shared" si="111"/>
        <v>0</v>
      </c>
      <c r="T463" s="367">
        <f t="shared" si="111"/>
        <v>0</v>
      </c>
      <c r="U463" s="367">
        <f t="shared" si="111"/>
        <v>0</v>
      </c>
      <c r="V463" s="367">
        <f t="shared" si="111"/>
        <v>0</v>
      </c>
      <c r="W463" s="367">
        <f t="shared" si="111"/>
        <v>3571563200</v>
      </c>
      <c r="X463" s="367">
        <f t="shared" si="111"/>
        <v>0</v>
      </c>
      <c r="Y463" s="367">
        <f t="shared" si="111"/>
        <v>0</v>
      </c>
      <c r="Z463" s="367">
        <f t="shared" si="111"/>
        <v>0</v>
      </c>
      <c r="AA463" s="367">
        <f t="shared" si="111"/>
        <v>0</v>
      </c>
      <c r="AB463" s="367">
        <f t="shared" si="111"/>
        <v>117567021307.86</v>
      </c>
      <c r="AC463" s="367">
        <f t="shared" si="111"/>
        <v>17556304102</v>
      </c>
      <c r="AD463" s="367">
        <f t="shared" si="111"/>
        <v>8216499579.2399998</v>
      </c>
      <c r="AE463" s="367">
        <f t="shared" si="111"/>
        <v>0</v>
      </c>
      <c r="AF463" s="367">
        <f t="shared" si="111"/>
        <v>6786806584</v>
      </c>
      <c r="AG463" s="367">
        <f t="shared" si="111"/>
        <v>0</v>
      </c>
      <c r="AH463" s="367">
        <f t="shared" si="111"/>
        <v>79557</v>
      </c>
      <c r="AI463" s="367">
        <f t="shared" si="111"/>
        <v>0</v>
      </c>
      <c r="AJ463" s="367">
        <f t="shared" si="111"/>
        <v>541130170</v>
      </c>
      <c r="AK463" s="367">
        <f>AK462+AK456+AK436+AK418+AK381</f>
        <v>154239404500.10001</v>
      </c>
    </row>
    <row r="464" spans="1:37" ht="30" customHeight="1" x14ac:dyDescent="0.2">
      <c r="A464" s="40"/>
      <c r="B464" s="40"/>
      <c r="C464" s="41"/>
      <c r="D464" s="40"/>
      <c r="E464" s="41"/>
      <c r="F464" s="41"/>
      <c r="G464" s="40"/>
      <c r="H464" s="41"/>
      <c r="I464" s="40"/>
      <c r="J464" s="42"/>
      <c r="K464" s="271"/>
      <c r="L464" s="271"/>
      <c r="M464" s="285"/>
      <c r="N464" s="41"/>
      <c r="O464" s="40"/>
      <c r="P464" s="41"/>
      <c r="Q464" s="368">
        <f t="shared" ref="Q464:AJ464" si="112">+Q463</f>
        <v>0</v>
      </c>
      <c r="R464" s="368">
        <f t="shared" si="112"/>
        <v>0</v>
      </c>
      <c r="S464" s="368">
        <f t="shared" si="112"/>
        <v>0</v>
      </c>
      <c r="T464" s="368">
        <f t="shared" si="112"/>
        <v>0</v>
      </c>
      <c r="U464" s="368">
        <f t="shared" si="112"/>
        <v>0</v>
      </c>
      <c r="V464" s="368">
        <f t="shared" si="112"/>
        <v>0</v>
      </c>
      <c r="W464" s="368">
        <f t="shared" si="112"/>
        <v>3571563200</v>
      </c>
      <c r="X464" s="368">
        <f t="shared" si="112"/>
        <v>0</v>
      </c>
      <c r="Y464" s="368">
        <f t="shared" si="112"/>
        <v>0</v>
      </c>
      <c r="Z464" s="368">
        <f t="shared" si="112"/>
        <v>0</v>
      </c>
      <c r="AA464" s="368">
        <f t="shared" si="112"/>
        <v>0</v>
      </c>
      <c r="AB464" s="368">
        <f t="shared" si="112"/>
        <v>117567021307.86</v>
      </c>
      <c r="AC464" s="368">
        <f t="shared" si="112"/>
        <v>17556304102</v>
      </c>
      <c r="AD464" s="368">
        <f t="shared" si="112"/>
        <v>8216499579.2399998</v>
      </c>
      <c r="AE464" s="368">
        <f t="shared" si="112"/>
        <v>0</v>
      </c>
      <c r="AF464" s="368">
        <f t="shared" si="112"/>
        <v>6786806584</v>
      </c>
      <c r="AG464" s="368">
        <f t="shared" si="112"/>
        <v>0</v>
      </c>
      <c r="AH464" s="368">
        <f t="shared" si="112"/>
        <v>79557</v>
      </c>
      <c r="AI464" s="368">
        <f t="shared" si="112"/>
        <v>0</v>
      </c>
      <c r="AJ464" s="368">
        <f t="shared" si="112"/>
        <v>541130170</v>
      </c>
      <c r="AK464" s="368">
        <f>+AK463</f>
        <v>154239404500.10001</v>
      </c>
    </row>
    <row r="465" spans="1:37" ht="30" customHeight="1" x14ac:dyDescent="0.2">
      <c r="A465" s="43"/>
      <c r="B465" s="44"/>
      <c r="C465" s="116"/>
      <c r="D465" s="44"/>
      <c r="E465" s="116"/>
      <c r="F465" s="116"/>
      <c r="G465" s="44"/>
      <c r="H465" s="116"/>
      <c r="I465" s="44"/>
      <c r="J465" s="45"/>
      <c r="K465" s="160"/>
      <c r="L465" s="160"/>
      <c r="M465" s="62"/>
      <c r="N465" s="116"/>
      <c r="O465" s="44"/>
      <c r="P465" s="116"/>
      <c r="Q465" s="350"/>
      <c r="R465" s="351"/>
      <c r="S465" s="350"/>
      <c r="T465" s="350"/>
      <c r="U465" s="350"/>
      <c r="V465" s="350"/>
      <c r="W465" s="350"/>
      <c r="X465" s="350"/>
      <c r="Y465" s="350"/>
      <c r="Z465" s="350"/>
      <c r="AA465" s="350"/>
      <c r="AB465" s="351"/>
      <c r="AC465" s="351"/>
      <c r="AD465" s="350"/>
      <c r="AE465" s="350"/>
      <c r="AF465" s="431"/>
      <c r="AG465" s="353"/>
      <c r="AH465" s="350"/>
      <c r="AI465" s="350"/>
      <c r="AJ465" s="350"/>
      <c r="AK465" s="354"/>
    </row>
    <row r="466" spans="1:37" ht="30" customHeight="1" x14ac:dyDescent="0.2">
      <c r="A466" s="4" t="s">
        <v>552</v>
      </c>
      <c r="B466" s="5"/>
      <c r="C466" s="6"/>
      <c r="D466" s="5"/>
      <c r="E466" s="5"/>
      <c r="F466" s="5"/>
      <c r="G466" s="5"/>
      <c r="H466" s="6"/>
      <c r="I466" s="5"/>
      <c r="J466" s="5"/>
      <c r="K466" s="179"/>
      <c r="L466" s="179"/>
      <c r="M466" s="577"/>
      <c r="N466" s="6"/>
      <c r="O466" s="5"/>
      <c r="P466" s="6"/>
      <c r="Q466" s="413"/>
      <c r="R466" s="413"/>
      <c r="S466" s="413"/>
      <c r="T466" s="413"/>
      <c r="U466" s="413"/>
      <c r="V466" s="413"/>
      <c r="W466" s="413"/>
      <c r="X466" s="413"/>
      <c r="Y466" s="413"/>
      <c r="Z466" s="413"/>
      <c r="AA466" s="413"/>
      <c r="AB466" s="413"/>
      <c r="AC466" s="413"/>
      <c r="AD466" s="413"/>
      <c r="AE466" s="413"/>
      <c r="AF466" s="414"/>
      <c r="AG466" s="415"/>
      <c r="AH466" s="413"/>
      <c r="AI466" s="413"/>
      <c r="AJ466" s="413"/>
      <c r="AK466" s="416" t="s">
        <v>56</v>
      </c>
    </row>
    <row r="467" spans="1:37" ht="30" customHeight="1" x14ac:dyDescent="0.2">
      <c r="A467" s="679">
        <v>3</v>
      </c>
      <c r="B467" s="7" t="s">
        <v>233</v>
      </c>
      <c r="C467" s="8"/>
      <c r="D467" s="7"/>
      <c r="E467" s="7"/>
      <c r="F467" s="7"/>
      <c r="G467" s="7"/>
      <c r="H467" s="8"/>
      <c r="I467" s="7"/>
      <c r="J467" s="7"/>
      <c r="K467" s="180"/>
      <c r="L467" s="180"/>
      <c r="M467" s="578"/>
      <c r="N467" s="8"/>
      <c r="O467" s="7"/>
      <c r="P467" s="7"/>
      <c r="Q467" s="376"/>
      <c r="R467" s="376"/>
      <c r="S467" s="376"/>
      <c r="T467" s="376"/>
      <c r="U467" s="376"/>
      <c r="V467" s="376"/>
      <c r="W467" s="376"/>
      <c r="X467" s="376"/>
      <c r="Y467" s="376"/>
      <c r="Z467" s="376"/>
      <c r="AA467" s="376"/>
      <c r="AB467" s="376"/>
      <c r="AC467" s="376"/>
      <c r="AD467" s="376"/>
      <c r="AE467" s="376"/>
      <c r="AF467" s="377"/>
      <c r="AG467" s="376"/>
      <c r="AH467" s="376"/>
      <c r="AI467" s="376"/>
      <c r="AJ467" s="376"/>
      <c r="AK467" s="378"/>
    </row>
    <row r="468" spans="1:37" ht="30" customHeight="1" x14ac:dyDescent="0.2">
      <c r="A468" s="48"/>
      <c r="B468" s="93">
        <v>16</v>
      </c>
      <c r="C468" s="11" t="s">
        <v>544</v>
      </c>
      <c r="D468" s="12"/>
      <c r="E468" s="12"/>
      <c r="F468" s="12"/>
      <c r="G468" s="12"/>
      <c r="H468" s="13"/>
      <c r="I468" s="12"/>
      <c r="J468" s="12"/>
      <c r="K468" s="164"/>
      <c r="L468" s="164"/>
      <c r="M468" s="579"/>
      <c r="N468" s="13"/>
      <c r="O468" s="12"/>
      <c r="P468" s="12"/>
      <c r="Q468" s="357"/>
      <c r="R468" s="357"/>
      <c r="S468" s="357"/>
      <c r="T468" s="357"/>
      <c r="U468" s="357"/>
      <c r="V468" s="357"/>
      <c r="W468" s="357"/>
      <c r="X468" s="357"/>
      <c r="Y468" s="357"/>
      <c r="Z468" s="357"/>
      <c r="AA468" s="357"/>
      <c r="AB468" s="357"/>
      <c r="AC468" s="357"/>
      <c r="AD468" s="357"/>
      <c r="AE468" s="357"/>
      <c r="AF468" s="358"/>
      <c r="AG468" s="357"/>
      <c r="AH468" s="357"/>
      <c r="AI468" s="357"/>
      <c r="AJ468" s="357"/>
      <c r="AK468" s="362"/>
    </row>
    <row r="469" spans="1:37" ht="30" customHeight="1" x14ac:dyDescent="0.2">
      <c r="A469" s="16"/>
      <c r="B469" s="48"/>
      <c r="C469" s="648"/>
      <c r="D469" s="642"/>
      <c r="E469" s="648"/>
      <c r="F469" s="648"/>
      <c r="G469" s="181">
        <v>56</v>
      </c>
      <c r="H469" s="52" t="s">
        <v>553</v>
      </c>
      <c r="I469" s="52"/>
      <c r="J469" s="52"/>
      <c r="K469" s="119"/>
      <c r="L469" s="119"/>
      <c r="M469" s="581"/>
      <c r="N469" s="136"/>
      <c r="O469" s="52"/>
      <c r="P469" s="52"/>
      <c r="Q469" s="231"/>
      <c r="R469" s="231"/>
      <c r="S469" s="231"/>
      <c r="T469" s="231"/>
      <c r="U469" s="231"/>
      <c r="V469" s="231"/>
      <c r="W469" s="231"/>
      <c r="X469" s="231"/>
      <c r="Y469" s="231"/>
      <c r="Z469" s="231"/>
      <c r="AA469" s="231"/>
      <c r="AB469" s="231"/>
      <c r="AC469" s="231"/>
      <c r="AD469" s="231"/>
      <c r="AE469" s="231"/>
      <c r="AF469" s="359"/>
      <c r="AG469" s="231"/>
      <c r="AH469" s="231"/>
      <c r="AI469" s="231"/>
      <c r="AJ469" s="231"/>
      <c r="AK469" s="233"/>
    </row>
    <row r="470" spans="1:37" ht="50.25" customHeight="1" x14ac:dyDescent="0.2">
      <c r="A470" s="16"/>
      <c r="B470" s="16"/>
      <c r="C470" s="776" t="s">
        <v>554</v>
      </c>
      <c r="D470" s="777" t="s">
        <v>547</v>
      </c>
      <c r="E470" s="750" t="s">
        <v>555</v>
      </c>
      <c r="F470" s="750" t="s">
        <v>556</v>
      </c>
      <c r="G470" s="17"/>
      <c r="H470" s="673">
        <v>180</v>
      </c>
      <c r="I470" s="665" t="s">
        <v>557</v>
      </c>
      <c r="J470" s="673">
        <v>0</v>
      </c>
      <c r="K470" s="132">
        <v>1</v>
      </c>
      <c r="L470" s="743">
        <v>201700360031</v>
      </c>
      <c r="M470" s="734" t="s">
        <v>558</v>
      </c>
      <c r="N470" s="731" t="s">
        <v>559</v>
      </c>
      <c r="O470" s="734" t="s">
        <v>560</v>
      </c>
      <c r="P470" s="673" t="s">
        <v>41</v>
      </c>
      <c r="Q470" s="346">
        <v>0</v>
      </c>
      <c r="R470" s="346">
        <v>0</v>
      </c>
      <c r="S470" s="346">
        <v>0</v>
      </c>
      <c r="T470" s="346">
        <v>0</v>
      </c>
      <c r="U470" s="346">
        <v>0</v>
      </c>
      <c r="V470" s="346">
        <v>0</v>
      </c>
      <c r="W470" s="346">
        <v>0</v>
      </c>
      <c r="X470" s="346"/>
      <c r="Y470" s="346"/>
      <c r="Z470" s="346">
        <v>0</v>
      </c>
      <c r="AA470" s="346">
        <v>0</v>
      </c>
      <c r="AB470" s="346"/>
      <c r="AC470" s="346"/>
      <c r="AD470" s="346">
        <v>0</v>
      </c>
      <c r="AE470" s="346">
        <v>0</v>
      </c>
      <c r="AF470" s="349">
        <f>34000000+11000000</f>
        <v>45000000</v>
      </c>
      <c r="AG470" s="349"/>
      <c r="AH470" s="346">
        <v>0</v>
      </c>
      <c r="AI470" s="348"/>
      <c r="AJ470" s="348"/>
      <c r="AK470" s="346">
        <f>Q470+R470+S470+T470+U470+V470+W470+X470+Y470+Z470+AA470+AB470+AC470+AD470+AE470+AF470+AG470+AH470+AI470+AJ470</f>
        <v>45000000</v>
      </c>
    </row>
    <row r="471" spans="1:37" ht="50.25" customHeight="1" x14ac:dyDescent="0.2">
      <c r="A471" s="16"/>
      <c r="B471" s="16"/>
      <c r="C471" s="776"/>
      <c r="D471" s="777"/>
      <c r="E471" s="750"/>
      <c r="F471" s="750"/>
      <c r="G471" s="65"/>
      <c r="H471" s="673">
        <v>181</v>
      </c>
      <c r="I471" s="665" t="s">
        <v>561</v>
      </c>
      <c r="J471" s="673">
        <v>6</v>
      </c>
      <c r="K471" s="132">
        <v>6</v>
      </c>
      <c r="L471" s="745"/>
      <c r="M471" s="736"/>
      <c r="N471" s="733"/>
      <c r="O471" s="736"/>
      <c r="P471" s="673" t="s">
        <v>41</v>
      </c>
      <c r="Q471" s="346">
        <v>0</v>
      </c>
      <c r="R471" s="346">
        <v>0</v>
      </c>
      <c r="S471" s="346">
        <v>0</v>
      </c>
      <c r="T471" s="346">
        <v>0</v>
      </c>
      <c r="U471" s="346">
        <v>0</v>
      </c>
      <c r="V471" s="346">
        <v>0</v>
      </c>
      <c r="W471" s="346">
        <v>0</v>
      </c>
      <c r="X471" s="346"/>
      <c r="Y471" s="346"/>
      <c r="Z471" s="346">
        <v>0</v>
      </c>
      <c r="AA471" s="346">
        <v>0</v>
      </c>
      <c r="AB471" s="346"/>
      <c r="AC471" s="346"/>
      <c r="AD471" s="346">
        <v>0</v>
      </c>
      <c r="AE471" s="346">
        <v>0</v>
      </c>
      <c r="AF471" s="349">
        <f>12500000+2500000</f>
        <v>15000000</v>
      </c>
      <c r="AG471" s="349"/>
      <c r="AH471" s="346">
        <v>0</v>
      </c>
      <c r="AI471" s="348"/>
      <c r="AJ471" s="348"/>
      <c r="AK471" s="346">
        <f>Q471+R471+S471+T471+U471+V471+W471+X471+Y471+Z471+AA471+AB471+AC471+AD471+AE471+AF471+AG471+AH471+AI471+AJ471</f>
        <v>15000000</v>
      </c>
    </row>
    <row r="472" spans="1:37" ht="30" customHeight="1" x14ac:dyDescent="0.2">
      <c r="A472" s="16"/>
      <c r="B472" s="29"/>
      <c r="C472" s="475"/>
      <c r="D472" s="644"/>
      <c r="E472" s="649"/>
      <c r="F472" s="649"/>
      <c r="G472" s="30"/>
      <c r="H472" s="31"/>
      <c r="I472" s="30"/>
      <c r="J472" s="31"/>
      <c r="K472" s="154"/>
      <c r="L472" s="154"/>
      <c r="M472" s="30"/>
      <c r="N472" s="31"/>
      <c r="O472" s="30"/>
      <c r="P472" s="31"/>
      <c r="Q472" s="355">
        <f t="shared" ref="Q472:AJ472" si="113">SUM(Q470:Q471)</f>
        <v>0</v>
      </c>
      <c r="R472" s="355">
        <f t="shared" si="113"/>
        <v>0</v>
      </c>
      <c r="S472" s="355">
        <f t="shared" si="113"/>
        <v>0</v>
      </c>
      <c r="T472" s="355">
        <f t="shared" si="113"/>
        <v>0</v>
      </c>
      <c r="U472" s="355">
        <f t="shared" si="113"/>
        <v>0</v>
      </c>
      <c r="V472" s="355">
        <f t="shared" si="113"/>
        <v>0</v>
      </c>
      <c r="W472" s="355">
        <f t="shared" si="113"/>
        <v>0</v>
      </c>
      <c r="X472" s="355">
        <f t="shared" si="113"/>
        <v>0</v>
      </c>
      <c r="Y472" s="355">
        <f t="shared" si="113"/>
        <v>0</v>
      </c>
      <c r="Z472" s="355">
        <f t="shared" si="113"/>
        <v>0</v>
      </c>
      <c r="AA472" s="355">
        <f t="shared" si="113"/>
        <v>0</v>
      </c>
      <c r="AB472" s="355">
        <f t="shared" si="113"/>
        <v>0</v>
      </c>
      <c r="AC472" s="355">
        <f t="shared" si="113"/>
        <v>0</v>
      </c>
      <c r="AD472" s="355">
        <f t="shared" si="113"/>
        <v>0</v>
      </c>
      <c r="AE472" s="355">
        <f t="shared" si="113"/>
        <v>0</v>
      </c>
      <c r="AF472" s="355">
        <f t="shared" si="113"/>
        <v>60000000</v>
      </c>
      <c r="AG472" s="355">
        <f t="shared" si="113"/>
        <v>0</v>
      </c>
      <c r="AH472" s="355">
        <f t="shared" si="113"/>
        <v>0</v>
      </c>
      <c r="AI472" s="355">
        <f t="shared" si="113"/>
        <v>0</v>
      </c>
      <c r="AJ472" s="355">
        <f t="shared" si="113"/>
        <v>0</v>
      </c>
      <c r="AK472" s="355">
        <f>SUM(AK470:AK471)</f>
        <v>60000000</v>
      </c>
    </row>
    <row r="473" spans="1:37" ht="30" customHeight="1" x14ac:dyDescent="0.2">
      <c r="A473" s="16"/>
      <c r="B473" s="265"/>
      <c r="C473" s="266"/>
      <c r="D473" s="34"/>
      <c r="E473" s="35"/>
      <c r="F473" s="35"/>
      <c r="G473" s="34"/>
      <c r="H473" s="35"/>
      <c r="I473" s="34"/>
      <c r="J473" s="35"/>
      <c r="K473" s="170"/>
      <c r="L473" s="170"/>
      <c r="M473" s="34"/>
      <c r="N473" s="35"/>
      <c r="O473" s="34"/>
      <c r="P473" s="35"/>
      <c r="Q473" s="361">
        <f t="shared" ref="Q473:AK473" si="114">Q472</f>
        <v>0</v>
      </c>
      <c r="R473" s="361">
        <f t="shared" si="114"/>
        <v>0</v>
      </c>
      <c r="S473" s="361">
        <f t="shared" si="114"/>
        <v>0</v>
      </c>
      <c r="T473" s="361">
        <f t="shared" si="114"/>
        <v>0</v>
      </c>
      <c r="U473" s="361">
        <f t="shared" si="114"/>
        <v>0</v>
      </c>
      <c r="V473" s="361">
        <f t="shared" si="114"/>
        <v>0</v>
      </c>
      <c r="W473" s="361">
        <f t="shared" si="114"/>
        <v>0</v>
      </c>
      <c r="X473" s="361">
        <f t="shared" si="114"/>
        <v>0</v>
      </c>
      <c r="Y473" s="361">
        <f t="shared" si="114"/>
        <v>0</v>
      </c>
      <c r="Z473" s="361">
        <f t="shared" si="114"/>
        <v>0</v>
      </c>
      <c r="AA473" s="361">
        <f t="shared" si="114"/>
        <v>0</v>
      </c>
      <c r="AB473" s="361">
        <f t="shared" si="114"/>
        <v>0</v>
      </c>
      <c r="AC473" s="361">
        <f t="shared" si="114"/>
        <v>0</v>
      </c>
      <c r="AD473" s="361">
        <f t="shared" si="114"/>
        <v>0</v>
      </c>
      <c r="AE473" s="361">
        <f t="shared" si="114"/>
        <v>0</v>
      </c>
      <c r="AF473" s="361">
        <f t="shared" si="114"/>
        <v>60000000</v>
      </c>
      <c r="AG473" s="361">
        <f t="shared" si="114"/>
        <v>0</v>
      </c>
      <c r="AH473" s="361">
        <f t="shared" si="114"/>
        <v>0</v>
      </c>
      <c r="AI473" s="361">
        <f t="shared" si="114"/>
        <v>0</v>
      </c>
      <c r="AJ473" s="361">
        <f t="shared" si="114"/>
        <v>0</v>
      </c>
      <c r="AK473" s="361">
        <f t="shared" si="114"/>
        <v>60000000</v>
      </c>
    </row>
    <row r="474" spans="1:37" ht="30" customHeight="1" x14ac:dyDescent="0.2">
      <c r="A474" s="16"/>
      <c r="B474" s="272"/>
      <c r="C474" s="273"/>
      <c r="D474" s="44"/>
      <c r="E474" s="116"/>
      <c r="F474" s="116"/>
      <c r="G474" s="44"/>
      <c r="H474" s="116"/>
      <c r="I474" s="44"/>
      <c r="J474" s="116"/>
      <c r="K474" s="158"/>
      <c r="L474" s="158"/>
      <c r="M474" s="44"/>
      <c r="N474" s="116"/>
      <c r="O474" s="44"/>
      <c r="P474" s="116"/>
      <c r="Q474" s="350"/>
      <c r="R474" s="350"/>
      <c r="S474" s="350"/>
      <c r="T474" s="350"/>
      <c r="U474" s="350"/>
      <c r="V474" s="350"/>
      <c r="W474" s="350"/>
      <c r="X474" s="350"/>
      <c r="Y474" s="350"/>
      <c r="Z474" s="350"/>
      <c r="AA474" s="350"/>
      <c r="AB474" s="351"/>
      <c r="AC474" s="351"/>
      <c r="AD474" s="350"/>
      <c r="AE474" s="350"/>
      <c r="AF474" s="352" t="s">
        <v>56</v>
      </c>
      <c r="AG474" s="353"/>
      <c r="AH474" s="350"/>
      <c r="AI474" s="350"/>
      <c r="AJ474" s="350"/>
      <c r="AK474" s="354"/>
    </row>
    <row r="475" spans="1:37" ht="30" customHeight="1" x14ac:dyDescent="0.2">
      <c r="A475" s="16"/>
      <c r="B475" s="93">
        <v>17</v>
      </c>
      <c r="C475" s="13" t="s">
        <v>562</v>
      </c>
      <c r="D475" s="12"/>
      <c r="E475" s="12"/>
      <c r="F475" s="12"/>
      <c r="G475" s="12"/>
      <c r="H475" s="13"/>
      <c r="I475" s="12"/>
      <c r="J475" s="12"/>
      <c r="K475" s="164"/>
      <c r="L475" s="164"/>
      <c r="M475" s="579"/>
      <c r="N475" s="13"/>
      <c r="O475" s="12"/>
      <c r="P475" s="12"/>
      <c r="Q475" s="357"/>
      <c r="R475" s="357"/>
      <c r="S475" s="357"/>
      <c r="T475" s="357"/>
      <c r="U475" s="357"/>
      <c r="V475" s="357"/>
      <c r="W475" s="357"/>
      <c r="X475" s="357"/>
      <c r="Y475" s="357"/>
      <c r="Z475" s="357"/>
      <c r="AA475" s="357"/>
      <c r="AB475" s="357"/>
      <c r="AC475" s="357"/>
      <c r="AD475" s="357"/>
      <c r="AE475" s="357"/>
      <c r="AF475" s="358"/>
      <c r="AG475" s="357"/>
      <c r="AH475" s="357"/>
      <c r="AI475" s="357"/>
      <c r="AJ475" s="357"/>
      <c r="AK475" s="362"/>
    </row>
    <row r="476" spans="1:37" ht="30" customHeight="1" x14ac:dyDescent="0.2">
      <c r="A476" s="16"/>
      <c r="B476" s="274"/>
      <c r="C476" s="476"/>
      <c r="D476" s="642"/>
      <c r="E476" s="648"/>
      <c r="F476" s="648"/>
      <c r="G476" s="181">
        <v>58</v>
      </c>
      <c r="H476" s="52" t="s">
        <v>563</v>
      </c>
      <c r="I476" s="52"/>
      <c r="J476" s="52"/>
      <c r="K476" s="119"/>
      <c r="L476" s="119"/>
      <c r="M476" s="581"/>
      <c r="N476" s="136"/>
      <c r="O476" s="52"/>
      <c r="P476" s="52"/>
      <c r="Q476" s="231"/>
      <c r="R476" s="231"/>
      <c r="S476" s="231"/>
      <c r="T476" s="231"/>
      <c r="U476" s="231"/>
      <c r="V476" s="231"/>
      <c r="W476" s="231"/>
      <c r="X476" s="231"/>
      <c r="Y476" s="231"/>
      <c r="Z476" s="231"/>
      <c r="AA476" s="231"/>
      <c r="AB476" s="231"/>
      <c r="AC476" s="231"/>
      <c r="AD476" s="231"/>
      <c r="AE476" s="231"/>
      <c r="AF476" s="359"/>
      <c r="AG476" s="231"/>
      <c r="AH476" s="231"/>
      <c r="AI476" s="231"/>
      <c r="AJ476" s="231"/>
      <c r="AK476" s="233"/>
    </row>
    <row r="477" spans="1:37" ht="53.25" customHeight="1" x14ac:dyDescent="0.2">
      <c r="A477" s="16"/>
      <c r="B477" s="275"/>
      <c r="C477" s="638">
        <v>22</v>
      </c>
      <c r="D477" s="643" t="s">
        <v>564</v>
      </c>
      <c r="E477" s="638" t="s">
        <v>565</v>
      </c>
      <c r="F477" s="638" t="s">
        <v>566</v>
      </c>
      <c r="G477" s="17"/>
      <c r="H477" s="673">
        <v>183</v>
      </c>
      <c r="I477" s="665" t="s">
        <v>567</v>
      </c>
      <c r="J477" s="18">
        <v>0</v>
      </c>
      <c r="K477" s="153">
        <v>1</v>
      </c>
      <c r="L477" s="20">
        <v>201700360055</v>
      </c>
      <c r="M477" s="21" t="s">
        <v>558</v>
      </c>
      <c r="N477" s="673" t="s">
        <v>568</v>
      </c>
      <c r="O477" s="665" t="s">
        <v>901</v>
      </c>
      <c r="P477" s="673" t="s">
        <v>41</v>
      </c>
      <c r="Q477" s="346"/>
      <c r="R477" s="346"/>
      <c r="S477" s="346"/>
      <c r="T477" s="346"/>
      <c r="U477" s="346"/>
      <c r="V477" s="346"/>
      <c r="W477" s="346"/>
      <c r="X477" s="346"/>
      <c r="Y477" s="346"/>
      <c r="Z477" s="346"/>
      <c r="AA477" s="346"/>
      <c r="AB477" s="346"/>
      <c r="AC477" s="346"/>
      <c r="AD477" s="346"/>
      <c r="AE477" s="346"/>
      <c r="AF477" s="547">
        <f>129000000+51000000+5000000</f>
        <v>185000000</v>
      </c>
      <c r="AG477" s="347"/>
      <c r="AH477" s="346"/>
      <c r="AI477" s="348"/>
      <c r="AJ477" s="348"/>
      <c r="AK477" s="346">
        <f>Q477+R477+S477+T477+U477+V477+W477+X477+Y477+Z477+AA477+AB477+AC477+AD477+AE477+AF477+AG477+AH477+AI477+AJ477</f>
        <v>185000000</v>
      </c>
    </row>
    <row r="478" spans="1:37" ht="30" customHeight="1" x14ac:dyDescent="0.2">
      <c r="A478" s="16"/>
      <c r="B478" s="276"/>
      <c r="C478" s="477"/>
      <c r="D478" s="644"/>
      <c r="E478" s="649"/>
      <c r="F478" s="649"/>
      <c r="G478" s="30"/>
      <c r="H478" s="31"/>
      <c r="I478" s="30"/>
      <c r="J478" s="32"/>
      <c r="K478" s="159"/>
      <c r="L478" s="159"/>
      <c r="M478" s="151"/>
      <c r="N478" s="31"/>
      <c r="O478" s="30"/>
      <c r="P478" s="31"/>
      <c r="Q478" s="355">
        <f t="shared" ref="Q478:AK478" si="115">SUM(Q477:Q477)</f>
        <v>0</v>
      </c>
      <c r="R478" s="355">
        <f t="shared" si="115"/>
        <v>0</v>
      </c>
      <c r="S478" s="355">
        <f t="shared" si="115"/>
        <v>0</v>
      </c>
      <c r="T478" s="355">
        <f t="shared" si="115"/>
        <v>0</v>
      </c>
      <c r="U478" s="355">
        <f t="shared" si="115"/>
        <v>0</v>
      </c>
      <c r="V478" s="355">
        <f t="shared" si="115"/>
        <v>0</v>
      </c>
      <c r="W478" s="355">
        <f t="shared" si="115"/>
        <v>0</v>
      </c>
      <c r="X478" s="355">
        <f t="shared" si="115"/>
        <v>0</v>
      </c>
      <c r="Y478" s="355">
        <f t="shared" si="115"/>
        <v>0</v>
      </c>
      <c r="Z478" s="355">
        <f t="shared" si="115"/>
        <v>0</v>
      </c>
      <c r="AA478" s="355">
        <f t="shared" si="115"/>
        <v>0</v>
      </c>
      <c r="AB478" s="355">
        <f t="shared" si="115"/>
        <v>0</v>
      </c>
      <c r="AC478" s="355">
        <f t="shared" si="115"/>
        <v>0</v>
      </c>
      <c r="AD478" s="355">
        <f t="shared" si="115"/>
        <v>0</v>
      </c>
      <c r="AE478" s="355">
        <f t="shared" si="115"/>
        <v>0</v>
      </c>
      <c r="AF478" s="355">
        <f t="shared" si="115"/>
        <v>185000000</v>
      </c>
      <c r="AG478" s="355">
        <f t="shared" si="115"/>
        <v>0</v>
      </c>
      <c r="AH478" s="355">
        <f t="shared" si="115"/>
        <v>0</v>
      </c>
      <c r="AI478" s="355">
        <f t="shared" si="115"/>
        <v>0</v>
      </c>
      <c r="AJ478" s="355">
        <f t="shared" si="115"/>
        <v>0</v>
      </c>
      <c r="AK478" s="355">
        <f t="shared" si="115"/>
        <v>185000000</v>
      </c>
    </row>
    <row r="479" spans="1:37" ht="30" customHeight="1" x14ac:dyDescent="0.2">
      <c r="A479" s="16"/>
      <c r="B479" s="276"/>
      <c r="C479" s="680"/>
      <c r="D479" s="612"/>
      <c r="E479" s="680"/>
      <c r="F479" s="680"/>
      <c r="G479" s="612"/>
      <c r="H479" s="680"/>
      <c r="I479" s="612"/>
      <c r="J479" s="611"/>
      <c r="K479" s="696"/>
      <c r="L479" s="696"/>
      <c r="M479" s="682"/>
      <c r="N479" s="680"/>
      <c r="O479" s="612"/>
      <c r="P479" s="680"/>
      <c r="Q479" s="683"/>
      <c r="R479" s="683"/>
      <c r="S479" s="683"/>
      <c r="T479" s="683"/>
      <c r="U479" s="683"/>
      <c r="V479" s="683"/>
      <c r="W479" s="683"/>
      <c r="X479" s="683"/>
      <c r="Y479" s="683"/>
      <c r="Z479" s="683"/>
      <c r="AA479" s="683"/>
      <c r="AB479" s="683"/>
      <c r="AC479" s="683"/>
      <c r="AD479" s="683"/>
      <c r="AE479" s="683"/>
      <c r="AF479" s="352" t="s">
        <v>56</v>
      </c>
      <c r="AG479" s="687"/>
      <c r="AH479" s="683"/>
      <c r="AI479" s="683"/>
      <c r="AJ479" s="683"/>
      <c r="AK479" s="530"/>
    </row>
    <row r="480" spans="1:37" ht="30" customHeight="1" x14ac:dyDescent="0.2">
      <c r="A480" s="16"/>
      <c r="B480" s="276"/>
      <c r="C480" s="478"/>
      <c r="D480" s="642"/>
      <c r="E480" s="648"/>
      <c r="F480" s="648"/>
      <c r="G480" s="50">
        <v>59</v>
      </c>
      <c r="H480" s="51" t="s">
        <v>569</v>
      </c>
      <c r="I480" s="51"/>
      <c r="J480" s="51"/>
      <c r="K480" s="277"/>
      <c r="L480" s="277"/>
      <c r="M480" s="581"/>
      <c r="N480" s="136"/>
      <c r="O480" s="51"/>
      <c r="P480" s="51"/>
      <c r="Q480" s="443"/>
      <c r="R480" s="443"/>
      <c r="S480" s="231"/>
      <c r="T480" s="231"/>
      <c r="U480" s="231"/>
      <c r="V480" s="231"/>
      <c r="W480" s="231"/>
      <c r="X480" s="231"/>
      <c r="Y480" s="231"/>
      <c r="Z480" s="231"/>
      <c r="AA480" s="231"/>
      <c r="AB480" s="231"/>
      <c r="AC480" s="231"/>
      <c r="AD480" s="231"/>
      <c r="AE480" s="231"/>
      <c r="AF480" s="359"/>
      <c r="AG480" s="231"/>
      <c r="AH480" s="231"/>
      <c r="AI480" s="231"/>
      <c r="AJ480" s="231"/>
      <c r="AK480" s="233"/>
    </row>
    <row r="481" spans="1:37" ht="54.75" customHeight="1" x14ac:dyDescent="0.2">
      <c r="A481" s="16"/>
      <c r="B481" s="275"/>
      <c r="C481" s="732" t="s">
        <v>570</v>
      </c>
      <c r="D481" s="735" t="s">
        <v>571</v>
      </c>
      <c r="E481" s="732" t="s">
        <v>572</v>
      </c>
      <c r="F481" s="732" t="s">
        <v>573</v>
      </c>
      <c r="G481" s="23"/>
      <c r="H481" s="673">
        <v>184</v>
      </c>
      <c r="I481" s="665" t="s">
        <v>574</v>
      </c>
      <c r="J481" s="18">
        <v>1</v>
      </c>
      <c r="K481" s="153">
        <v>1</v>
      </c>
      <c r="L481" s="743">
        <v>201700360050</v>
      </c>
      <c r="M481" s="737" t="s">
        <v>558</v>
      </c>
      <c r="N481" s="731" t="s">
        <v>575</v>
      </c>
      <c r="O481" s="734" t="s">
        <v>902</v>
      </c>
      <c r="P481" s="132" t="s">
        <v>41</v>
      </c>
      <c r="Q481" s="346"/>
      <c r="R481" s="346"/>
      <c r="S481" s="346"/>
      <c r="T481" s="346"/>
      <c r="U481" s="346"/>
      <c r="V481" s="346"/>
      <c r="W481" s="346"/>
      <c r="X481" s="346"/>
      <c r="Y481" s="346"/>
      <c r="Z481" s="346"/>
      <c r="AA481" s="346"/>
      <c r="AB481" s="346"/>
      <c r="AC481" s="346"/>
      <c r="AD481" s="346"/>
      <c r="AE481" s="346"/>
      <c r="AF481" s="349">
        <f>90000000+350000000</f>
        <v>440000000</v>
      </c>
      <c r="AG481" s="349"/>
      <c r="AH481" s="346"/>
      <c r="AI481" s="348"/>
      <c r="AJ481" s="348"/>
      <c r="AK481" s="346">
        <f>Q481+R481+S481+T481+U481+V481+W481+X481+Y481+Z481+AA481+AB481+AC481+AD481+AE481+AF481+AG481+AH481+AI481+AJ481</f>
        <v>440000000</v>
      </c>
    </row>
    <row r="482" spans="1:37" ht="54.75" customHeight="1" x14ac:dyDescent="0.2">
      <c r="A482" s="16"/>
      <c r="B482" s="275"/>
      <c r="C482" s="732"/>
      <c r="D482" s="735"/>
      <c r="E482" s="732"/>
      <c r="F482" s="732"/>
      <c r="G482" s="23"/>
      <c r="H482" s="673">
        <v>185</v>
      </c>
      <c r="I482" s="665" t="s">
        <v>576</v>
      </c>
      <c r="J482" s="18" t="s">
        <v>32</v>
      </c>
      <c r="K482" s="153">
        <v>1</v>
      </c>
      <c r="L482" s="744"/>
      <c r="M482" s="738"/>
      <c r="N482" s="732"/>
      <c r="O482" s="735"/>
      <c r="P482" s="673" t="s">
        <v>41</v>
      </c>
      <c r="Q482" s="346">
        <v>0</v>
      </c>
      <c r="R482" s="346">
        <v>0</v>
      </c>
      <c r="S482" s="346">
        <v>0</v>
      </c>
      <c r="T482" s="346">
        <v>0</v>
      </c>
      <c r="U482" s="346">
        <v>0</v>
      </c>
      <c r="V482" s="346">
        <v>0</v>
      </c>
      <c r="W482" s="346">
        <v>0</v>
      </c>
      <c r="X482" s="346"/>
      <c r="Y482" s="346"/>
      <c r="Z482" s="346">
        <v>0</v>
      </c>
      <c r="AA482" s="346">
        <v>0</v>
      </c>
      <c r="AB482" s="346"/>
      <c r="AC482" s="346"/>
      <c r="AD482" s="346">
        <v>0</v>
      </c>
      <c r="AE482" s="346">
        <v>0</v>
      </c>
      <c r="AF482" s="349">
        <f>16500000+23500000</f>
        <v>40000000</v>
      </c>
      <c r="AG482" s="349"/>
      <c r="AH482" s="346">
        <v>0</v>
      </c>
      <c r="AI482" s="348"/>
      <c r="AJ482" s="348"/>
      <c r="AK482" s="346">
        <f>Q482+R482+S482+T482+U482+V482+W482+X482+Y482+Z482+AA482+AB482+AC482+AD482+AE482+AF482+AG482+AH482+AI482+AJ482</f>
        <v>40000000</v>
      </c>
    </row>
    <row r="483" spans="1:37" ht="54.75" customHeight="1" x14ac:dyDescent="0.2">
      <c r="A483" s="16"/>
      <c r="B483" s="275"/>
      <c r="C483" s="732"/>
      <c r="D483" s="735"/>
      <c r="E483" s="732"/>
      <c r="F483" s="732"/>
      <c r="G483" s="65"/>
      <c r="H483" s="673">
        <v>186</v>
      </c>
      <c r="I483" s="665" t="s">
        <v>577</v>
      </c>
      <c r="J483" s="18" t="s">
        <v>32</v>
      </c>
      <c r="K483" s="153">
        <v>1</v>
      </c>
      <c r="L483" s="745"/>
      <c r="M483" s="739"/>
      <c r="N483" s="733"/>
      <c r="O483" s="736"/>
      <c r="P483" s="673" t="s">
        <v>41</v>
      </c>
      <c r="Q483" s="346"/>
      <c r="R483" s="346"/>
      <c r="S483" s="346"/>
      <c r="T483" s="346"/>
      <c r="U483" s="346"/>
      <c r="V483" s="346"/>
      <c r="W483" s="346"/>
      <c r="X483" s="346"/>
      <c r="Y483" s="346"/>
      <c r="Z483" s="346"/>
      <c r="AA483" s="346"/>
      <c r="AB483" s="346"/>
      <c r="AC483" s="346"/>
      <c r="AD483" s="346"/>
      <c r="AE483" s="346"/>
      <c r="AF483" s="349">
        <f>21000000+19000000</f>
        <v>40000000</v>
      </c>
      <c r="AG483" s="349"/>
      <c r="AH483" s="346"/>
      <c r="AI483" s="348"/>
      <c r="AJ483" s="348"/>
      <c r="AK483" s="346">
        <f>Q483+R483+S483+T483+U483+V483+W483+X483+Y483+Z483+AA483+AB483+AC483+AD483+AE483+AF483+AG483+AH483+AI483+AJ483</f>
        <v>40000000</v>
      </c>
    </row>
    <row r="484" spans="1:37" ht="30" customHeight="1" x14ac:dyDescent="0.2">
      <c r="A484" s="16"/>
      <c r="B484" s="276"/>
      <c r="C484" s="477"/>
      <c r="D484" s="644"/>
      <c r="E484" s="649"/>
      <c r="F484" s="649"/>
      <c r="G484" s="30"/>
      <c r="H484" s="31"/>
      <c r="I484" s="30"/>
      <c r="J484" s="32"/>
      <c r="K484" s="159"/>
      <c r="L484" s="159"/>
      <c r="M484" s="151"/>
      <c r="N484" s="31"/>
      <c r="O484" s="30"/>
      <c r="P484" s="31"/>
      <c r="Q484" s="355">
        <f t="shared" ref="Q484:AK484" si="116">SUM(Q481:Q483)</f>
        <v>0</v>
      </c>
      <c r="R484" s="355">
        <f t="shared" si="116"/>
        <v>0</v>
      </c>
      <c r="S484" s="355">
        <f t="shared" si="116"/>
        <v>0</v>
      </c>
      <c r="T484" s="355">
        <f t="shared" si="116"/>
        <v>0</v>
      </c>
      <c r="U484" s="355">
        <f t="shared" si="116"/>
        <v>0</v>
      </c>
      <c r="V484" s="355">
        <f t="shared" si="116"/>
        <v>0</v>
      </c>
      <c r="W484" s="355">
        <f t="shared" si="116"/>
        <v>0</v>
      </c>
      <c r="X484" s="355">
        <f t="shared" si="116"/>
        <v>0</v>
      </c>
      <c r="Y484" s="355">
        <f t="shared" si="116"/>
        <v>0</v>
      </c>
      <c r="Z484" s="355">
        <f t="shared" si="116"/>
        <v>0</v>
      </c>
      <c r="AA484" s="355">
        <f t="shared" si="116"/>
        <v>0</v>
      </c>
      <c r="AB484" s="355">
        <f t="shared" si="116"/>
        <v>0</v>
      </c>
      <c r="AC484" s="355">
        <f t="shared" si="116"/>
        <v>0</v>
      </c>
      <c r="AD484" s="355">
        <f t="shared" si="116"/>
        <v>0</v>
      </c>
      <c r="AE484" s="355">
        <f t="shared" si="116"/>
        <v>0</v>
      </c>
      <c r="AF484" s="355">
        <f t="shared" si="116"/>
        <v>520000000</v>
      </c>
      <c r="AG484" s="355">
        <f t="shared" si="116"/>
        <v>0</v>
      </c>
      <c r="AH484" s="355">
        <f t="shared" si="116"/>
        <v>0</v>
      </c>
      <c r="AI484" s="355">
        <f t="shared" si="116"/>
        <v>0</v>
      </c>
      <c r="AJ484" s="355">
        <f t="shared" si="116"/>
        <v>0</v>
      </c>
      <c r="AK484" s="355">
        <f t="shared" si="116"/>
        <v>520000000</v>
      </c>
    </row>
    <row r="485" spans="1:37" ht="30" customHeight="1" x14ac:dyDescent="0.2">
      <c r="A485" s="16"/>
      <c r="B485" s="276"/>
      <c r="C485" s="680"/>
      <c r="D485" s="612"/>
      <c r="E485" s="680"/>
      <c r="F485" s="680"/>
      <c r="G485" s="612"/>
      <c r="H485" s="680"/>
      <c r="I485" s="612"/>
      <c r="J485" s="611"/>
      <c r="K485" s="696"/>
      <c r="L485" s="696"/>
      <c r="M485" s="682"/>
      <c r="N485" s="680"/>
      <c r="O485" s="612"/>
      <c r="P485" s="680"/>
      <c r="Q485" s="683"/>
      <c r="R485" s="684"/>
      <c r="S485" s="683"/>
      <c r="T485" s="683"/>
      <c r="U485" s="683"/>
      <c r="V485" s="683"/>
      <c r="W485" s="683"/>
      <c r="X485" s="683"/>
      <c r="Y485" s="683"/>
      <c r="Z485" s="683"/>
      <c r="AA485" s="683"/>
      <c r="AB485" s="683"/>
      <c r="AC485" s="683"/>
      <c r="AD485" s="683"/>
      <c r="AE485" s="683"/>
      <c r="AF485" s="352"/>
      <c r="AG485" s="687"/>
      <c r="AH485" s="683"/>
      <c r="AI485" s="683"/>
      <c r="AJ485" s="683"/>
      <c r="AK485" s="530"/>
    </row>
    <row r="486" spans="1:37" ht="30" customHeight="1" x14ac:dyDescent="0.2">
      <c r="A486" s="16"/>
      <c r="B486" s="276"/>
      <c r="C486" s="478"/>
      <c r="D486" s="642"/>
      <c r="E486" s="648"/>
      <c r="F486" s="648"/>
      <c r="G486" s="50">
        <v>60</v>
      </c>
      <c r="H486" s="51" t="s">
        <v>578</v>
      </c>
      <c r="I486" s="52"/>
      <c r="J486" s="52"/>
      <c r="K486" s="119"/>
      <c r="L486" s="119"/>
      <c r="M486" s="581"/>
      <c r="N486" s="136"/>
      <c r="O486" s="52"/>
      <c r="P486" s="52"/>
      <c r="Q486" s="231"/>
      <c r="R486" s="231"/>
      <c r="S486" s="231"/>
      <c r="T486" s="231"/>
      <c r="U486" s="231"/>
      <c r="V486" s="231"/>
      <c r="W486" s="231"/>
      <c r="X486" s="231"/>
      <c r="Y486" s="231"/>
      <c r="Z486" s="231"/>
      <c r="AA486" s="231"/>
      <c r="AB486" s="231"/>
      <c r="AC486" s="231"/>
      <c r="AD486" s="231"/>
      <c r="AE486" s="231"/>
      <c r="AF486" s="359"/>
      <c r="AG486" s="231"/>
      <c r="AH486" s="231"/>
      <c r="AI486" s="231"/>
      <c r="AJ486" s="231"/>
      <c r="AK486" s="233"/>
    </row>
    <row r="487" spans="1:37" ht="63" customHeight="1" x14ac:dyDescent="0.2">
      <c r="A487" s="16"/>
      <c r="B487" s="275"/>
      <c r="C487" s="649">
        <v>22</v>
      </c>
      <c r="D487" s="644" t="s">
        <v>579</v>
      </c>
      <c r="E487" s="649" t="s">
        <v>580</v>
      </c>
      <c r="F487" s="649" t="s">
        <v>581</v>
      </c>
      <c r="G487" s="17"/>
      <c r="H487" s="673">
        <v>187</v>
      </c>
      <c r="I487" s="665" t="s">
        <v>582</v>
      </c>
      <c r="J487" s="18">
        <v>1</v>
      </c>
      <c r="K487" s="153">
        <v>1</v>
      </c>
      <c r="L487" s="743">
        <v>201700360056</v>
      </c>
      <c r="M487" s="737" t="s">
        <v>558</v>
      </c>
      <c r="N487" s="731" t="s">
        <v>583</v>
      </c>
      <c r="O487" s="734" t="s">
        <v>903</v>
      </c>
      <c r="P487" s="673" t="s">
        <v>41</v>
      </c>
      <c r="Q487" s="346">
        <v>0</v>
      </c>
      <c r="R487" s="346">
        <v>0</v>
      </c>
      <c r="S487" s="346">
        <v>0</v>
      </c>
      <c r="T487" s="346">
        <v>0</v>
      </c>
      <c r="U487" s="346">
        <v>0</v>
      </c>
      <c r="V487" s="346">
        <v>0</v>
      </c>
      <c r="W487" s="346">
        <v>0</v>
      </c>
      <c r="X487" s="346"/>
      <c r="Y487" s="346"/>
      <c r="Z487" s="346">
        <v>0</v>
      </c>
      <c r="AA487" s="346">
        <v>0</v>
      </c>
      <c r="AB487" s="346"/>
      <c r="AC487" s="346"/>
      <c r="AD487" s="346">
        <v>0</v>
      </c>
      <c r="AE487" s="346">
        <v>0</v>
      </c>
      <c r="AF487" s="349">
        <v>25000000</v>
      </c>
      <c r="AG487" s="349"/>
      <c r="AH487" s="346">
        <v>0</v>
      </c>
      <c r="AI487" s="348"/>
      <c r="AJ487" s="348"/>
      <c r="AK487" s="346">
        <f>Q487+R487+S487+T487+U487+V487+W487+X487+Y487+Z487+AA487+AB487+AC487+AD487+AE487+AF487+AG487+AH487+AI487+AJ487</f>
        <v>25000000</v>
      </c>
    </row>
    <row r="488" spans="1:37" ht="58.5" customHeight="1" x14ac:dyDescent="0.2">
      <c r="A488" s="16"/>
      <c r="B488" s="275"/>
      <c r="C488" s="663">
        <v>31</v>
      </c>
      <c r="D488" s="665" t="s">
        <v>584</v>
      </c>
      <c r="E488" s="227">
        <v>0.249</v>
      </c>
      <c r="F488" s="279">
        <v>0.2</v>
      </c>
      <c r="G488" s="23"/>
      <c r="H488" s="673">
        <v>188</v>
      </c>
      <c r="I488" s="665" t="s">
        <v>585</v>
      </c>
      <c r="J488" s="18" t="s">
        <v>32</v>
      </c>
      <c r="K488" s="153">
        <v>2</v>
      </c>
      <c r="L488" s="744"/>
      <c r="M488" s="738"/>
      <c r="N488" s="732"/>
      <c r="O488" s="735"/>
      <c r="P488" s="673" t="s">
        <v>41</v>
      </c>
      <c r="Q488" s="346">
        <v>0</v>
      </c>
      <c r="R488" s="346">
        <v>0</v>
      </c>
      <c r="S488" s="346">
        <v>0</v>
      </c>
      <c r="T488" s="346">
        <v>0</v>
      </c>
      <c r="U488" s="346">
        <v>0</v>
      </c>
      <c r="V488" s="346">
        <v>0</v>
      </c>
      <c r="W488" s="346">
        <v>0</v>
      </c>
      <c r="X488" s="346"/>
      <c r="Y488" s="346"/>
      <c r="Z488" s="346">
        <v>0</v>
      </c>
      <c r="AA488" s="346">
        <v>0</v>
      </c>
      <c r="AB488" s="346"/>
      <c r="AC488" s="346"/>
      <c r="AD488" s="346">
        <v>0</v>
      </c>
      <c r="AE488" s="346">
        <v>0</v>
      </c>
      <c r="AF488" s="349">
        <f>38000000</f>
        <v>38000000</v>
      </c>
      <c r="AG488" s="349"/>
      <c r="AH488" s="346">
        <v>0</v>
      </c>
      <c r="AI488" s="348"/>
      <c r="AJ488" s="348"/>
      <c r="AK488" s="346">
        <f>Q488+R488+S488+T488+U488+V488+W488+X488+Y488+Z488+AA488+AB488+AC488+AD488+AE488+AF488+AG488+AH488+AI488+AJ488</f>
        <v>38000000</v>
      </c>
    </row>
    <row r="489" spans="1:37" ht="53.25" customHeight="1" x14ac:dyDescent="0.2">
      <c r="A489" s="16"/>
      <c r="B489" s="275"/>
      <c r="C489" s="648">
        <v>32</v>
      </c>
      <c r="D489" s="642" t="s">
        <v>586</v>
      </c>
      <c r="E489" s="648" t="s">
        <v>587</v>
      </c>
      <c r="F489" s="648" t="s">
        <v>588</v>
      </c>
      <c r="G489" s="23"/>
      <c r="H489" s="673">
        <v>189</v>
      </c>
      <c r="I489" s="665" t="s">
        <v>589</v>
      </c>
      <c r="J489" s="18" t="s">
        <v>32</v>
      </c>
      <c r="K489" s="153">
        <v>1</v>
      </c>
      <c r="L489" s="745"/>
      <c r="M489" s="739"/>
      <c r="N489" s="733"/>
      <c r="O489" s="736"/>
      <c r="P489" s="673" t="s">
        <v>41</v>
      </c>
      <c r="Q489" s="346">
        <v>0</v>
      </c>
      <c r="R489" s="346">
        <v>0</v>
      </c>
      <c r="S489" s="346">
        <v>0</v>
      </c>
      <c r="T489" s="346">
        <v>0</v>
      </c>
      <c r="U489" s="346">
        <v>0</v>
      </c>
      <c r="V489" s="346">
        <v>0</v>
      </c>
      <c r="W489" s="346">
        <v>0</v>
      </c>
      <c r="X489" s="346"/>
      <c r="Y489" s="346"/>
      <c r="Z489" s="346">
        <v>0</v>
      </c>
      <c r="AA489" s="346">
        <v>0</v>
      </c>
      <c r="AB489" s="346"/>
      <c r="AC489" s="346"/>
      <c r="AD489" s="346">
        <v>0</v>
      </c>
      <c r="AE489" s="346">
        <v>0</v>
      </c>
      <c r="AF489" s="349">
        <f>38000000</f>
        <v>38000000</v>
      </c>
      <c r="AG489" s="349"/>
      <c r="AH489" s="346">
        <v>0</v>
      </c>
      <c r="AI489" s="348"/>
      <c r="AJ489" s="348"/>
      <c r="AK489" s="346">
        <f>Q489+R489+S489+T489+U489+V489+W489+X489+Y489+Z489+AA489+AB489+AC489+AD489+AE489+AF489+AG489+AH489+AI489+AJ489</f>
        <v>38000000</v>
      </c>
    </row>
    <row r="490" spans="1:37" ht="30" customHeight="1" x14ac:dyDescent="0.2">
      <c r="A490" s="16"/>
      <c r="B490" s="276"/>
      <c r="C490" s="477"/>
      <c r="D490" s="644"/>
      <c r="E490" s="649"/>
      <c r="F490" s="649"/>
      <c r="G490" s="30"/>
      <c r="H490" s="31"/>
      <c r="I490" s="30"/>
      <c r="J490" s="32"/>
      <c r="K490" s="159"/>
      <c r="L490" s="159"/>
      <c r="M490" s="151"/>
      <c r="N490" s="31"/>
      <c r="O490" s="30"/>
      <c r="P490" s="31"/>
      <c r="Q490" s="355">
        <f t="shared" ref="Q490:AK490" si="117">SUM(Q487:Q489)</f>
        <v>0</v>
      </c>
      <c r="R490" s="355">
        <f t="shared" si="117"/>
        <v>0</v>
      </c>
      <c r="S490" s="355">
        <f t="shared" si="117"/>
        <v>0</v>
      </c>
      <c r="T490" s="355">
        <f t="shared" si="117"/>
        <v>0</v>
      </c>
      <c r="U490" s="355">
        <f t="shared" si="117"/>
        <v>0</v>
      </c>
      <c r="V490" s="355">
        <f t="shared" si="117"/>
        <v>0</v>
      </c>
      <c r="W490" s="355">
        <f t="shared" si="117"/>
        <v>0</v>
      </c>
      <c r="X490" s="355">
        <f t="shared" si="117"/>
        <v>0</v>
      </c>
      <c r="Y490" s="355">
        <f t="shared" si="117"/>
        <v>0</v>
      </c>
      <c r="Z490" s="355">
        <f t="shared" si="117"/>
        <v>0</v>
      </c>
      <c r="AA490" s="355">
        <f t="shared" si="117"/>
        <v>0</v>
      </c>
      <c r="AB490" s="355">
        <f t="shared" si="117"/>
        <v>0</v>
      </c>
      <c r="AC490" s="355">
        <f t="shared" si="117"/>
        <v>0</v>
      </c>
      <c r="AD490" s="355">
        <f t="shared" si="117"/>
        <v>0</v>
      </c>
      <c r="AE490" s="355">
        <f t="shared" si="117"/>
        <v>0</v>
      </c>
      <c r="AF490" s="355">
        <f t="shared" si="117"/>
        <v>101000000</v>
      </c>
      <c r="AG490" s="355">
        <f t="shared" si="117"/>
        <v>0</v>
      </c>
      <c r="AH490" s="355">
        <f t="shared" si="117"/>
        <v>0</v>
      </c>
      <c r="AI490" s="355">
        <f t="shared" si="117"/>
        <v>0</v>
      </c>
      <c r="AJ490" s="355">
        <f t="shared" si="117"/>
        <v>0</v>
      </c>
      <c r="AK490" s="355">
        <f t="shared" si="117"/>
        <v>101000000</v>
      </c>
    </row>
    <row r="491" spans="1:37" ht="30" customHeight="1" x14ac:dyDescent="0.2">
      <c r="A491" s="16"/>
      <c r="B491" s="276"/>
      <c r="C491" s="680"/>
      <c r="D491" s="612"/>
      <c r="E491" s="680"/>
      <c r="F491" s="680"/>
      <c r="G491" s="612"/>
      <c r="H491" s="680"/>
      <c r="I491" s="612"/>
      <c r="J491" s="611"/>
      <c r="K491" s="696"/>
      <c r="L491" s="696"/>
      <c r="M491" s="682"/>
      <c r="N491" s="680"/>
      <c r="O491" s="612"/>
      <c r="P491" s="680"/>
      <c r="Q491" s="683"/>
      <c r="R491" s="684"/>
      <c r="S491" s="683"/>
      <c r="T491" s="683"/>
      <c r="U491" s="683"/>
      <c r="V491" s="683"/>
      <c r="W491" s="683"/>
      <c r="X491" s="683"/>
      <c r="Y491" s="683"/>
      <c r="Z491" s="683"/>
      <c r="AA491" s="683"/>
      <c r="AB491" s="683"/>
      <c r="AC491" s="683"/>
      <c r="AD491" s="683"/>
      <c r="AE491" s="683"/>
      <c r="AF491" s="352"/>
      <c r="AG491" s="687"/>
      <c r="AH491" s="683"/>
      <c r="AI491" s="683"/>
      <c r="AJ491" s="683"/>
      <c r="AK491" s="530"/>
    </row>
    <row r="492" spans="1:37" ht="30" customHeight="1" x14ac:dyDescent="0.2">
      <c r="A492" s="16"/>
      <c r="B492" s="276"/>
      <c r="C492" s="478"/>
      <c r="D492" s="642"/>
      <c r="E492" s="648"/>
      <c r="F492" s="648"/>
      <c r="G492" s="50">
        <v>61</v>
      </c>
      <c r="H492" s="52" t="s">
        <v>590</v>
      </c>
      <c r="I492" s="52"/>
      <c r="J492" s="52"/>
      <c r="K492" s="119"/>
      <c r="L492" s="119"/>
      <c r="M492" s="581"/>
      <c r="N492" s="136"/>
      <c r="O492" s="52"/>
      <c r="P492" s="52"/>
      <c r="Q492" s="231"/>
      <c r="R492" s="231"/>
      <c r="S492" s="231"/>
      <c r="T492" s="231"/>
      <c r="U492" s="231"/>
      <c r="V492" s="231"/>
      <c r="W492" s="231"/>
      <c r="X492" s="231"/>
      <c r="Y492" s="231"/>
      <c r="Z492" s="231"/>
      <c r="AA492" s="231"/>
      <c r="AB492" s="231"/>
      <c r="AC492" s="231"/>
      <c r="AD492" s="231"/>
      <c r="AE492" s="231"/>
      <c r="AF492" s="359"/>
      <c r="AG492" s="231"/>
      <c r="AH492" s="231"/>
      <c r="AI492" s="231"/>
      <c r="AJ492" s="231"/>
      <c r="AK492" s="233"/>
    </row>
    <row r="493" spans="1:37" ht="56.25" customHeight="1" x14ac:dyDescent="0.2">
      <c r="A493" s="16"/>
      <c r="B493" s="275"/>
      <c r="C493" s="638">
        <v>34</v>
      </c>
      <c r="D493" s="643" t="s">
        <v>591</v>
      </c>
      <c r="E493" s="638" t="s">
        <v>32</v>
      </c>
      <c r="F493" s="638">
        <v>40</v>
      </c>
      <c r="G493" s="17"/>
      <c r="H493" s="673">
        <v>190</v>
      </c>
      <c r="I493" s="665" t="s">
        <v>592</v>
      </c>
      <c r="J493" s="673">
        <v>1</v>
      </c>
      <c r="K493" s="132">
        <v>1</v>
      </c>
      <c r="L493" s="20">
        <v>201700360057</v>
      </c>
      <c r="M493" s="665" t="s">
        <v>558</v>
      </c>
      <c r="N493" s="673" t="s">
        <v>593</v>
      </c>
      <c r="O493" s="665" t="s">
        <v>904</v>
      </c>
      <c r="P493" s="673" t="s">
        <v>41</v>
      </c>
      <c r="Q493" s="346"/>
      <c r="R493" s="346"/>
      <c r="S493" s="346"/>
      <c r="T493" s="346"/>
      <c r="U493" s="346"/>
      <c r="V493" s="346"/>
      <c r="W493" s="346"/>
      <c r="X493" s="346"/>
      <c r="Y493" s="346"/>
      <c r="Z493" s="346"/>
      <c r="AA493" s="346"/>
      <c r="AB493" s="346"/>
      <c r="AC493" s="346"/>
      <c r="AD493" s="346"/>
      <c r="AE493" s="346"/>
      <c r="AF493" s="347">
        <f>137000000+28810224+24189776</f>
        <v>190000000</v>
      </c>
      <c r="AG493" s="347"/>
      <c r="AH493" s="346"/>
      <c r="AI493" s="348"/>
      <c r="AJ493" s="348"/>
      <c r="AK493" s="346">
        <f>Q493+R493+S493+T493+U493+V493+W493+X493+Y493+Z493+AA493+AB493+AC493+AD493+AE493+AF493+AG493+AH493+AI493+AJ493</f>
        <v>190000000</v>
      </c>
    </row>
    <row r="494" spans="1:37" ht="30" customHeight="1" x14ac:dyDescent="0.2">
      <c r="A494" s="16"/>
      <c r="B494" s="278"/>
      <c r="C494" s="477"/>
      <c r="D494" s="644"/>
      <c r="E494" s="649"/>
      <c r="F494" s="649"/>
      <c r="G494" s="30"/>
      <c r="H494" s="31"/>
      <c r="I494" s="30"/>
      <c r="J494" s="31"/>
      <c r="K494" s="154"/>
      <c r="L494" s="154"/>
      <c r="M494" s="30"/>
      <c r="N494" s="31"/>
      <c r="O494" s="30"/>
      <c r="P494" s="31"/>
      <c r="Q494" s="407">
        <f t="shared" ref="Q494:AK494" si="118">SUM(Q493:Q493)</f>
        <v>0</v>
      </c>
      <c r="R494" s="407">
        <f t="shared" si="118"/>
        <v>0</v>
      </c>
      <c r="S494" s="407">
        <f t="shared" si="118"/>
        <v>0</v>
      </c>
      <c r="T494" s="407">
        <f t="shared" si="118"/>
        <v>0</v>
      </c>
      <c r="U494" s="407">
        <f t="shared" si="118"/>
        <v>0</v>
      </c>
      <c r="V494" s="407">
        <f t="shared" si="118"/>
        <v>0</v>
      </c>
      <c r="W494" s="407">
        <f t="shared" si="118"/>
        <v>0</v>
      </c>
      <c r="X494" s="407">
        <f t="shared" si="118"/>
        <v>0</v>
      </c>
      <c r="Y494" s="407">
        <f t="shared" si="118"/>
        <v>0</v>
      </c>
      <c r="Z494" s="407">
        <f t="shared" si="118"/>
        <v>0</v>
      </c>
      <c r="AA494" s="407">
        <f t="shared" si="118"/>
        <v>0</v>
      </c>
      <c r="AB494" s="407">
        <f t="shared" si="118"/>
        <v>0</v>
      </c>
      <c r="AC494" s="407">
        <f t="shared" si="118"/>
        <v>0</v>
      </c>
      <c r="AD494" s="407">
        <f t="shared" si="118"/>
        <v>0</v>
      </c>
      <c r="AE494" s="407">
        <f t="shared" si="118"/>
        <v>0</v>
      </c>
      <c r="AF494" s="407">
        <f t="shared" si="118"/>
        <v>190000000</v>
      </c>
      <c r="AG494" s="407">
        <f t="shared" si="118"/>
        <v>0</v>
      </c>
      <c r="AH494" s="407">
        <f t="shared" si="118"/>
        <v>0</v>
      </c>
      <c r="AI494" s="407">
        <f t="shared" si="118"/>
        <v>0</v>
      </c>
      <c r="AJ494" s="407">
        <f t="shared" si="118"/>
        <v>0</v>
      </c>
      <c r="AK494" s="407">
        <f t="shared" si="118"/>
        <v>190000000</v>
      </c>
    </row>
    <row r="495" spans="1:37" ht="30" customHeight="1" x14ac:dyDescent="0.2">
      <c r="A495" s="16"/>
      <c r="B495" s="68"/>
      <c r="C495" s="35"/>
      <c r="D495" s="34"/>
      <c r="E495" s="35"/>
      <c r="F495" s="35"/>
      <c r="G495" s="34"/>
      <c r="H495" s="35"/>
      <c r="I495" s="34"/>
      <c r="J495" s="35"/>
      <c r="K495" s="170"/>
      <c r="L495" s="170"/>
      <c r="M495" s="34"/>
      <c r="N495" s="35"/>
      <c r="O495" s="34"/>
      <c r="P495" s="35"/>
      <c r="Q495" s="417">
        <f t="shared" ref="Q495:AK495" si="119">Q494+Q490+Q484+Q478</f>
        <v>0</v>
      </c>
      <c r="R495" s="417">
        <f t="shared" si="119"/>
        <v>0</v>
      </c>
      <c r="S495" s="417">
        <f t="shared" si="119"/>
        <v>0</v>
      </c>
      <c r="T495" s="417">
        <f t="shared" si="119"/>
        <v>0</v>
      </c>
      <c r="U495" s="417">
        <f t="shared" si="119"/>
        <v>0</v>
      </c>
      <c r="V495" s="417">
        <f t="shared" si="119"/>
        <v>0</v>
      </c>
      <c r="W495" s="417">
        <f t="shared" si="119"/>
        <v>0</v>
      </c>
      <c r="X495" s="417">
        <f t="shared" si="119"/>
        <v>0</v>
      </c>
      <c r="Y495" s="417">
        <f t="shared" si="119"/>
        <v>0</v>
      </c>
      <c r="Z495" s="417">
        <f t="shared" si="119"/>
        <v>0</v>
      </c>
      <c r="AA495" s="417">
        <f t="shared" si="119"/>
        <v>0</v>
      </c>
      <c r="AB495" s="417">
        <f t="shared" si="119"/>
        <v>0</v>
      </c>
      <c r="AC495" s="417">
        <f t="shared" si="119"/>
        <v>0</v>
      </c>
      <c r="AD495" s="417">
        <f t="shared" si="119"/>
        <v>0</v>
      </c>
      <c r="AE495" s="417">
        <f t="shared" si="119"/>
        <v>0</v>
      </c>
      <c r="AF495" s="417">
        <f t="shared" si="119"/>
        <v>996000000</v>
      </c>
      <c r="AG495" s="417">
        <f t="shared" si="119"/>
        <v>0</v>
      </c>
      <c r="AH495" s="417">
        <f t="shared" si="119"/>
        <v>0</v>
      </c>
      <c r="AI495" s="417">
        <f t="shared" si="119"/>
        <v>0</v>
      </c>
      <c r="AJ495" s="417">
        <f t="shared" si="119"/>
        <v>0</v>
      </c>
      <c r="AK495" s="417">
        <f t="shared" si="119"/>
        <v>996000000</v>
      </c>
    </row>
    <row r="496" spans="1:37" ht="30" customHeight="1" x14ac:dyDescent="0.2">
      <c r="A496" s="16"/>
      <c r="B496" s="272"/>
      <c r="C496" s="273"/>
      <c r="D496" s="44"/>
      <c r="E496" s="116"/>
      <c r="F496" s="116"/>
      <c r="G496" s="44"/>
      <c r="H496" s="116"/>
      <c r="I496" s="44"/>
      <c r="J496" s="116"/>
      <c r="K496" s="158"/>
      <c r="L496" s="158"/>
      <c r="M496" s="44"/>
      <c r="N496" s="116"/>
      <c r="O496" s="44"/>
      <c r="P496" s="116"/>
      <c r="Q496" s="350"/>
      <c r="R496" s="350"/>
      <c r="S496" s="350"/>
      <c r="T496" s="350"/>
      <c r="U496" s="350"/>
      <c r="V496" s="350"/>
      <c r="W496" s="350"/>
      <c r="X496" s="350"/>
      <c r="Y496" s="350"/>
      <c r="Z496" s="350"/>
      <c r="AA496" s="350"/>
      <c r="AB496" s="351"/>
      <c r="AC496" s="351"/>
      <c r="AD496" s="350"/>
      <c r="AE496" s="350"/>
      <c r="AF496" s="693" t="s">
        <v>56</v>
      </c>
      <c r="AG496" s="353"/>
      <c r="AH496" s="350"/>
      <c r="AI496" s="350"/>
      <c r="AJ496" s="350"/>
      <c r="AK496" s="354"/>
    </row>
    <row r="497" spans="1:37" ht="30" customHeight="1" x14ac:dyDescent="0.2">
      <c r="A497" s="16"/>
      <c r="B497" s="93">
        <v>18</v>
      </c>
      <c r="C497" s="11" t="s">
        <v>594</v>
      </c>
      <c r="D497" s="12"/>
      <c r="E497" s="12"/>
      <c r="F497" s="12"/>
      <c r="G497" s="12"/>
      <c r="H497" s="13"/>
      <c r="I497" s="12"/>
      <c r="J497" s="12"/>
      <c r="K497" s="164"/>
      <c r="L497" s="164"/>
      <c r="M497" s="579"/>
      <c r="N497" s="13"/>
      <c r="O497" s="12"/>
      <c r="P497" s="12"/>
      <c r="Q497" s="357"/>
      <c r="R497" s="357"/>
      <c r="S497" s="357"/>
      <c r="T497" s="357"/>
      <c r="U497" s="357"/>
      <c r="V497" s="357"/>
      <c r="W497" s="357"/>
      <c r="X497" s="357"/>
      <c r="Y497" s="357"/>
      <c r="Z497" s="357"/>
      <c r="AA497" s="357"/>
      <c r="AB497" s="357"/>
      <c r="AC497" s="357"/>
      <c r="AD497" s="357"/>
      <c r="AE497" s="357"/>
      <c r="AF497" s="358"/>
      <c r="AG497" s="357"/>
      <c r="AH497" s="357"/>
      <c r="AI497" s="357"/>
      <c r="AJ497" s="357"/>
      <c r="AK497" s="362"/>
    </row>
    <row r="498" spans="1:37" ht="30" customHeight="1" x14ac:dyDescent="0.2">
      <c r="A498" s="16"/>
      <c r="B498" s="274"/>
      <c r="C498" s="476"/>
      <c r="D498" s="642"/>
      <c r="E498" s="648"/>
      <c r="F498" s="648"/>
      <c r="G498" s="181">
        <v>62</v>
      </c>
      <c r="H498" s="52" t="s">
        <v>595</v>
      </c>
      <c r="I498" s="52"/>
      <c r="J498" s="52"/>
      <c r="K498" s="119"/>
      <c r="L498" s="119"/>
      <c r="M498" s="581"/>
      <c r="N498" s="136"/>
      <c r="O498" s="52"/>
      <c r="P498" s="52"/>
      <c r="Q498" s="231"/>
      <c r="R498" s="231"/>
      <c r="S498" s="231"/>
      <c r="T498" s="231"/>
      <c r="U498" s="231"/>
      <c r="V498" s="231"/>
      <c r="W498" s="231"/>
      <c r="X498" s="231"/>
      <c r="Y498" s="231"/>
      <c r="Z498" s="231"/>
      <c r="AA498" s="231"/>
      <c r="AB498" s="231"/>
      <c r="AC498" s="231"/>
      <c r="AD498" s="231"/>
      <c r="AE498" s="231"/>
      <c r="AF498" s="359"/>
      <c r="AG498" s="231"/>
      <c r="AH498" s="231"/>
      <c r="AI498" s="231"/>
      <c r="AJ498" s="231"/>
      <c r="AK498" s="233"/>
    </row>
    <row r="499" spans="1:37" ht="83.25" customHeight="1" x14ac:dyDescent="0.2">
      <c r="A499" s="16"/>
      <c r="B499" s="275"/>
      <c r="C499" s="649">
        <v>22</v>
      </c>
      <c r="D499" s="644" t="s">
        <v>579</v>
      </c>
      <c r="E499" s="649" t="s">
        <v>580</v>
      </c>
      <c r="F499" s="649" t="s">
        <v>581</v>
      </c>
      <c r="G499" s="17"/>
      <c r="H499" s="673">
        <v>191</v>
      </c>
      <c r="I499" s="665" t="s">
        <v>596</v>
      </c>
      <c r="J499" s="673" t="s">
        <v>32</v>
      </c>
      <c r="K499" s="132">
        <v>1</v>
      </c>
      <c r="L499" s="20">
        <v>201700360051</v>
      </c>
      <c r="M499" s="665" t="s">
        <v>558</v>
      </c>
      <c r="N499" s="673" t="s">
        <v>597</v>
      </c>
      <c r="O499" s="665" t="s">
        <v>598</v>
      </c>
      <c r="P499" s="132" t="s">
        <v>41</v>
      </c>
      <c r="Q499" s="346">
        <v>0</v>
      </c>
      <c r="R499" s="346">
        <v>0</v>
      </c>
      <c r="S499" s="346">
        <v>0</v>
      </c>
      <c r="T499" s="346">
        <v>0</v>
      </c>
      <c r="U499" s="346">
        <v>0</v>
      </c>
      <c r="V499" s="346">
        <v>0</v>
      </c>
      <c r="W499" s="346">
        <v>0</v>
      </c>
      <c r="X499" s="346"/>
      <c r="Y499" s="346"/>
      <c r="Z499" s="346">
        <v>0</v>
      </c>
      <c r="AA499" s="346">
        <v>0</v>
      </c>
      <c r="AB499" s="346"/>
      <c r="AC499" s="346"/>
      <c r="AD499" s="346">
        <v>0</v>
      </c>
      <c r="AE499" s="346">
        <v>0</v>
      </c>
      <c r="AF499" s="547">
        <f>1015000000+170000000+99000000</f>
        <v>1284000000</v>
      </c>
      <c r="AG499" s="360"/>
      <c r="AH499" s="346">
        <v>0</v>
      </c>
      <c r="AI499" s="348"/>
      <c r="AJ499" s="348"/>
      <c r="AK499" s="346">
        <f>Q499+R499+S499+T499+U499+V499+W499+X499+Y499+Z499+AA499+AB499+AC499+AD499+AE499+AF499+AG499+AH499+AI499+AJ499</f>
        <v>1284000000</v>
      </c>
    </row>
    <row r="500" spans="1:37" ht="75" customHeight="1" x14ac:dyDescent="0.2">
      <c r="A500" s="16"/>
      <c r="B500" s="275"/>
      <c r="C500" s="648">
        <v>22</v>
      </c>
      <c r="D500" s="642" t="s">
        <v>579</v>
      </c>
      <c r="E500" s="648" t="s">
        <v>580</v>
      </c>
      <c r="F500" s="648" t="s">
        <v>581</v>
      </c>
      <c r="G500" s="23"/>
      <c r="H500" s="673">
        <v>192</v>
      </c>
      <c r="I500" s="665" t="s">
        <v>599</v>
      </c>
      <c r="J500" s="673">
        <v>1</v>
      </c>
      <c r="K500" s="132">
        <v>1</v>
      </c>
      <c r="L500" s="20">
        <v>201700360085</v>
      </c>
      <c r="M500" s="665" t="s">
        <v>558</v>
      </c>
      <c r="N500" s="673" t="s">
        <v>600</v>
      </c>
      <c r="O500" s="665" t="s">
        <v>905</v>
      </c>
      <c r="P500" s="132" t="s">
        <v>41</v>
      </c>
      <c r="Q500" s="346">
        <v>0</v>
      </c>
      <c r="R500" s="346">
        <v>0</v>
      </c>
      <c r="S500" s="346">
        <v>0</v>
      </c>
      <c r="T500" s="346">
        <v>0</v>
      </c>
      <c r="U500" s="346">
        <v>0</v>
      </c>
      <c r="V500" s="346">
        <v>0</v>
      </c>
      <c r="W500" s="346">
        <v>0</v>
      </c>
      <c r="X500" s="346"/>
      <c r="Y500" s="346"/>
      <c r="Z500" s="346">
        <v>0</v>
      </c>
      <c r="AA500" s="346">
        <v>0</v>
      </c>
      <c r="AB500" s="346"/>
      <c r="AC500" s="346"/>
      <c r="AD500" s="346">
        <v>0</v>
      </c>
      <c r="AE500" s="346">
        <v>0</v>
      </c>
      <c r="AF500" s="347">
        <f>43000000+37000000</f>
        <v>80000000</v>
      </c>
      <c r="AG500" s="360"/>
      <c r="AH500" s="346">
        <v>0</v>
      </c>
      <c r="AI500" s="348"/>
      <c r="AJ500" s="348"/>
      <c r="AK500" s="346">
        <f>Q500+R500+S500+T500+U500+V500+W500+X500+Y500+Z500+AA500+AB500+AC500+AD500+AE500+AF500+AG500+AH500+AI500+AJ500</f>
        <v>80000000</v>
      </c>
    </row>
    <row r="501" spans="1:37" ht="30" customHeight="1" x14ac:dyDescent="0.2">
      <c r="A501" s="16"/>
      <c r="B501" s="276"/>
      <c r="C501" s="477"/>
      <c r="D501" s="644"/>
      <c r="E501" s="649"/>
      <c r="F501" s="649"/>
      <c r="G501" s="30"/>
      <c r="H501" s="31"/>
      <c r="I501" s="30"/>
      <c r="J501" s="31"/>
      <c r="K501" s="154"/>
      <c r="L501" s="154"/>
      <c r="M501" s="30"/>
      <c r="N501" s="31"/>
      <c r="O501" s="30"/>
      <c r="P501" s="31"/>
      <c r="Q501" s="355">
        <f t="shared" ref="Q501:AJ501" si="120">SUM(Q499:Q500)</f>
        <v>0</v>
      </c>
      <c r="R501" s="355">
        <f t="shared" si="120"/>
        <v>0</v>
      </c>
      <c r="S501" s="355">
        <f t="shared" si="120"/>
        <v>0</v>
      </c>
      <c r="T501" s="355">
        <f t="shared" si="120"/>
        <v>0</v>
      </c>
      <c r="U501" s="355">
        <f t="shared" si="120"/>
        <v>0</v>
      </c>
      <c r="V501" s="355">
        <f t="shared" si="120"/>
        <v>0</v>
      </c>
      <c r="W501" s="355">
        <f t="shared" si="120"/>
        <v>0</v>
      </c>
      <c r="X501" s="355">
        <f t="shared" si="120"/>
        <v>0</v>
      </c>
      <c r="Y501" s="355">
        <f t="shared" si="120"/>
        <v>0</v>
      </c>
      <c r="Z501" s="355">
        <f t="shared" si="120"/>
        <v>0</v>
      </c>
      <c r="AA501" s="355">
        <f t="shared" si="120"/>
        <v>0</v>
      </c>
      <c r="AB501" s="355">
        <f t="shared" si="120"/>
        <v>0</v>
      </c>
      <c r="AC501" s="355">
        <f t="shared" si="120"/>
        <v>0</v>
      </c>
      <c r="AD501" s="355">
        <f t="shared" si="120"/>
        <v>0</v>
      </c>
      <c r="AE501" s="355">
        <f t="shared" si="120"/>
        <v>0</v>
      </c>
      <c r="AF501" s="355">
        <f t="shared" si="120"/>
        <v>1364000000</v>
      </c>
      <c r="AG501" s="355">
        <f t="shared" si="120"/>
        <v>0</v>
      </c>
      <c r="AH501" s="355">
        <f t="shared" si="120"/>
        <v>0</v>
      </c>
      <c r="AI501" s="355">
        <f t="shared" si="120"/>
        <v>0</v>
      </c>
      <c r="AJ501" s="355">
        <f t="shared" si="120"/>
        <v>0</v>
      </c>
      <c r="AK501" s="355">
        <f>SUM(AK499:AK500)</f>
        <v>1364000000</v>
      </c>
    </row>
    <row r="502" spans="1:37" ht="30" customHeight="1" x14ac:dyDescent="0.2">
      <c r="A502" s="16"/>
      <c r="B502" s="276"/>
      <c r="C502" s="680"/>
      <c r="D502" s="612"/>
      <c r="E502" s="680"/>
      <c r="F502" s="680"/>
      <c r="G502" s="612"/>
      <c r="H502" s="680"/>
      <c r="I502" s="612"/>
      <c r="J502" s="611"/>
      <c r="K502" s="696"/>
      <c r="L502" s="696"/>
      <c r="M502" s="682"/>
      <c r="N502" s="680"/>
      <c r="O502" s="612"/>
      <c r="P502" s="680"/>
      <c r="Q502" s="683"/>
      <c r="R502" s="684"/>
      <c r="S502" s="683"/>
      <c r="T502" s="683"/>
      <c r="U502" s="683"/>
      <c r="V502" s="683"/>
      <c r="W502" s="683"/>
      <c r="X502" s="683"/>
      <c r="Y502" s="683"/>
      <c r="Z502" s="683"/>
      <c r="AA502" s="683"/>
      <c r="AB502" s="683"/>
      <c r="AC502" s="683"/>
      <c r="AD502" s="683"/>
      <c r="AE502" s="683"/>
      <c r="AF502" s="685"/>
      <c r="AG502" s="687"/>
      <c r="AH502" s="683"/>
      <c r="AI502" s="683"/>
      <c r="AJ502" s="683"/>
      <c r="AK502" s="530"/>
    </row>
    <row r="503" spans="1:37" ht="30" customHeight="1" x14ac:dyDescent="0.2">
      <c r="A503" s="16"/>
      <c r="B503" s="276"/>
      <c r="C503" s="478"/>
      <c r="D503" s="642"/>
      <c r="E503" s="648"/>
      <c r="F503" s="648"/>
      <c r="G503" s="50">
        <v>63</v>
      </c>
      <c r="H503" s="52" t="s">
        <v>601</v>
      </c>
      <c r="I503" s="52"/>
      <c r="J503" s="52"/>
      <c r="K503" s="119"/>
      <c r="L503" s="119"/>
      <c r="M503" s="581"/>
      <c r="N503" s="136"/>
      <c r="O503" s="52"/>
      <c r="P503" s="52"/>
      <c r="Q503" s="231"/>
      <c r="R503" s="231"/>
      <c r="S503" s="231"/>
      <c r="T503" s="231"/>
      <c r="U503" s="231"/>
      <c r="V503" s="231"/>
      <c r="W503" s="231"/>
      <c r="X503" s="231"/>
      <c r="Y503" s="231"/>
      <c r="Z503" s="231"/>
      <c r="AA503" s="231"/>
      <c r="AB503" s="231"/>
      <c r="AC503" s="231"/>
      <c r="AD503" s="231"/>
      <c r="AE503" s="231"/>
      <c r="AF503" s="359"/>
      <c r="AG503" s="231"/>
      <c r="AH503" s="231"/>
      <c r="AI503" s="231"/>
      <c r="AJ503" s="231"/>
      <c r="AK503" s="233"/>
    </row>
    <row r="504" spans="1:37" ht="58.5" customHeight="1" x14ac:dyDescent="0.2">
      <c r="A504" s="16"/>
      <c r="B504" s="275"/>
      <c r="C504" s="649">
        <v>38</v>
      </c>
      <c r="D504" s="644" t="s">
        <v>42</v>
      </c>
      <c r="E504" s="649">
        <v>0</v>
      </c>
      <c r="F504" s="649">
        <v>2</v>
      </c>
      <c r="G504" s="17"/>
      <c r="H504" s="673">
        <v>193</v>
      </c>
      <c r="I504" s="665" t="s">
        <v>602</v>
      </c>
      <c r="J504" s="673">
        <v>1</v>
      </c>
      <c r="K504" s="132">
        <v>1</v>
      </c>
      <c r="L504" s="20">
        <v>201700360090</v>
      </c>
      <c r="M504" s="665" t="s">
        <v>558</v>
      </c>
      <c r="N504" s="673" t="s">
        <v>603</v>
      </c>
      <c r="O504" s="665" t="s">
        <v>906</v>
      </c>
      <c r="P504" s="673" t="s">
        <v>41</v>
      </c>
      <c r="Q504" s="346">
        <v>0</v>
      </c>
      <c r="R504" s="346">
        <v>0</v>
      </c>
      <c r="S504" s="346">
        <v>0</v>
      </c>
      <c r="T504" s="346">
        <v>0</v>
      </c>
      <c r="U504" s="346">
        <v>0</v>
      </c>
      <c r="V504" s="346">
        <v>0</v>
      </c>
      <c r="W504" s="346">
        <v>0</v>
      </c>
      <c r="X504" s="346"/>
      <c r="Y504" s="346"/>
      <c r="Z504" s="346">
        <v>0</v>
      </c>
      <c r="AA504" s="346">
        <v>0</v>
      </c>
      <c r="AB504" s="346"/>
      <c r="AC504" s="346"/>
      <c r="AD504" s="346">
        <v>0</v>
      </c>
      <c r="AE504" s="346">
        <v>0</v>
      </c>
      <c r="AF504" s="349">
        <f>40000000-10000000</f>
        <v>30000000</v>
      </c>
      <c r="AG504" s="349"/>
      <c r="AH504" s="346">
        <v>0</v>
      </c>
      <c r="AI504" s="348"/>
      <c r="AJ504" s="348"/>
      <c r="AK504" s="346">
        <f>Q504+R504+S504+T504+U504+V504+W504+X504+Y504+Z504+AA504+AB504+AC504+AD504+AE504+AF504+AG504+AH504+AI504+AJ504</f>
        <v>30000000</v>
      </c>
    </row>
    <row r="505" spans="1:37" ht="58.5" customHeight="1" x14ac:dyDescent="0.2">
      <c r="A505" s="16"/>
      <c r="B505" s="275"/>
      <c r="C505" s="648">
        <v>38</v>
      </c>
      <c r="D505" s="642" t="s">
        <v>42</v>
      </c>
      <c r="E505" s="648">
        <v>0</v>
      </c>
      <c r="F505" s="648">
        <v>2</v>
      </c>
      <c r="G505" s="65"/>
      <c r="H505" s="673">
        <v>194</v>
      </c>
      <c r="I505" s="665" t="s">
        <v>604</v>
      </c>
      <c r="J505" s="673">
        <v>1</v>
      </c>
      <c r="K505" s="132">
        <v>1</v>
      </c>
      <c r="L505" s="20">
        <v>201700360091</v>
      </c>
      <c r="M505" s="665" t="s">
        <v>558</v>
      </c>
      <c r="N505" s="673" t="s">
        <v>605</v>
      </c>
      <c r="O505" s="665" t="s">
        <v>907</v>
      </c>
      <c r="P505" s="673" t="s">
        <v>41</v>
      </c>
      <c r="Q505" s="346">
        <v>0</v>
      </c>
      <c r="R505" s="346">
        <v>0</v>
      </c>
      <c r="S505" s="346">
        <v>0</v>
      </c>
      <c r="T505" s="346">
        <v>0</v>
      </c>
      <c r="U505" s="346">
        <v>0</v>
      </c>
      <c r="V505" s="346">
        <v>0</v>
      </c>
      <c r="W505" s="346">
        <v>0</v>
      </c>
      <c r="X505" s="346"/>
      <c r="Y505" s="346"/>
      <c r="Z505" s="346">
        <v>0</v>
      </c>
      <c r="AA505" s="346">
        <v>0</v>
      </c>
      <c r="AB505" s="346"/>
      <c r="AC505" s="346"/>
      <c r="AD505" s="346">
        <v>0</v>
      </c>
      <c r="AE505" s="346">
        <v>0</v>
      </c>
      <c r="AF505" s="548">
        <f>35000000+35000000+21000000</f>
        <v>91000000</v>
      </c>
      <c r="AG505" s="349"/>
      <c r="AH505" s="346">
        <v>0</v>
      </c>
      <c r="AI505" s="348"/>
      <c r="AJ505" s="348"/>
      <c r="AK505" s="346">
        <f>Q505+R505+S505+T505+U505+V505+W505+X505+Y505+Z505+AA505+AB505+AC505+AD505+AE505+AF505+AG505+AH505+AI505+AJ505</f>
        <v>91000000</v>
      </c>
    </row>
    <row r="506" spans="1:37" ht="30" customHeight="1" x14ac:dyDescent="0.2">
      <c r="A506" s="16"/>
      <c r="B506" s="276"/>
      <c r="C506" s="477"/>
      <c r="D506" s="644"/>
      <c r="E506" s="649"/>
      <c r="F506" s="649"/>
      <c r="G506" s="30"/>
      <c r="H506" s="31"/>
      <c r="I506" s="30"/>
      <c r="J506" s="31"/>
      <c r="K506" s="154"/>
      <c r="L506" s="154"/>
      <c r="M506" s="30"/>
      <c r="N506" s="31"/>
      <c r="O506" s="30"/>
      <c r="P506" s="31"/>
      <c r="Q506" s="355">
        <f t="shared" ref="Q506:AJ506" si="121">SUM(Q504:Q505)</f>
        <v>0</v>
      </c>
      <c r="R506" s="355">
        <f t="shared" si="121"/>
        <v>0</v>
      </c>
      <c r="S506" s="355">
        <f t="shared" si="121"/>
        <v>0</v>
      </c>
      <c r="T506" s="355">
        <f t="shared" si="121"/>
        <v>0</v>
      </c>
      <c r="U506" s="355">
        <f t="shared" si="121"/>
        <v>0</v>
      </c>
      <c r="V506" s="355">
        <f t="shared" si="121"/>
        <v>0</v>
      </c>
      <c r="W506" s="355">
        <f t="shared" si="121"/>
        <v>0</v>
      </c>
      <c r="X506" s="355">
        <f t="shared" si="121"/>
        <v>0</v>
      </c>
      <c r="Y506" s="355">
        <f t="shared" si="121"/>
        <v>0</v>
      </c>
      <c r="Z506" s="355">
        <f t="shared" si="121"/>
        <v>0</v>
      </c>
      <c r="AA506" s="355">
        <f t="shared" si="121"/>
        <v>0</v>
      </c>
      <c r="AB506" s="355">
        <f t="shared" si="121"/>
        <v>0</v>
      </c>
      <c r="AC506" s="355">
        <f t="shared" si="121"/>
        <v>0</v>
      </c>
      <c r="AD506" s="355">
        <f t="shared" si="121"/>
        <v>0</v>
      </c>
      <c r="AE506" s="355">
        <f t="shared" si="121"/>
        <v>0</v>
      </c>
      <c r="AF506" s="355">
        <f t="shared" si="121"/>
        <v>121000000</v>
      </c>
      <c r="AG506" s="355">
        <f t="shared" si="121"/>
        <v>0</v>
      </c>
      <c r="AH506" s="355">
        <f t="shared" si="121"/>
        <v>0</v>
      </c>
      <c r="AI506" s="355">
        <f t="shared" si="121"/>
        <v>0</v>
      </c>
      <c r="AJ506" s="355">
        <f t="shared" si="121"/>
        <v>0</v>
      </c>
      <c r="AK506" s="355">
        <f>SUM(AK504:AK505)</f>
        <v>121000000</v>
      </c>
    </row>
    <row r="507" spans="1:37" ht="30" customHeight="1" x14ac:dyDescent="0.2">
      <c r="A507" s="16"/>
      <c r="B507" s="276"/>
      <c r="C507" s="680"/>
      <c r="D507" s="612"/>
      <c r="E507" s="680"/>
      <c r="F507" s="680"/>
      <c r="G507" s="612"/>
      <c r="H507" s="680"/>
      <c r="I507" s="612"/>
      <c r="J507" s="611"/>
      <c r="K507" s="696"/>
      <c r="L507" s="696"/>
      <c r="M507" s="682"/>
      <c r="N507" s="680"/>
      <c r="O507" s="612"/>
      <c r="P507" s="680"/>
      <c r="Q507" s="683"/>
      <c r="R507" s="684"/>
      <c r="S507" s="683"/>
      <c r="T507" s="683"/>
      <c r="U507" s="683"/>
      <c r="V507" s="683"/>
      <c r="W507" s="683"/>
      <c r="X507" s="683"/>
      <c r="Y507" s="683"/>
      <c r="Z507" s="683"/>
      <c r="AA507" s="683"/>
      <c r="AB507" s="683"/>
      <c r="AC507" s="683"/>
      <c r="AD507" s="683"/>
      <c r="AE507" s="683"/>
      <c r="AF507" s="685"/>
      <c r="AG507" s="687"/>
      <c r="AH507" s="683"/>
      <c r="AI507" s="683"/>
      <c r="AJ507" s="683"/>
      <c r="AK507" s="530"/>
    </row>
    <row r="508" spans="1:37" ht="30" customHeight="1" x14ac:dyDescent="0.2">
      <c r="A508" s="16"/>
      <c r="B508" s="276"/>
      <c r="C508" s="478"/>
      <c r="D508" s="642"/>
      <c r="E508" s="648"/>
      <c r="F508" s="648"/>
      <c r="G508" s="50">
        <v>64</v>
      </c>
      <c r="H508" s="52" t="s">
        <v>606</v>
      </c>
      <c r="I508" s="52"/>
      <c r="J508" s="52"/>
      <c r="K508" s="119"/>
      <c r="L508" s="119"/>
      <c r="M508" s="581"/>
      <c r="N508" s="136"/>
      <c r="O508" s="52"/>
      <c r="P508" s="52"/>
      <c r="Q508" s="231"/>
      <c r="R508" s="231"/>
      <c r="S508" s="231"/>
      <c r="T508" s="231"/>
      <c r="U508" s="231"/>
      <c r="V508" s="231"/>
      <c r="W508" s="231"/>
      <c r="X508" s="231"/>
      <c r="Y508" s="231"/>
      <c r="Z508" s="231"/>
      <c r="AA508" s="231"/>
      <c r="AB508" s="231"/>
      <c r="AC508" s="231"/>
      <c r="AD508" s="231"/>
      <c r="AE508" s="231"/>
      <c r="AF508" s="359"/>
      <c r="AG508" s="231"/>
      <c r="AH508" s="231"/>
      <c r="AI508" s="231"/>
      <c r="AJ508" s="231"/>
      <c r="AK508" s="233"/>
    </row>
    <row r="509" spans="1:37" ht="72" customHeight="1" x14ac:dyDescent="0.2">
      <c r="A509" s="16"/>
      <c r="B509" s="275"/>
      <c r="C509" s="638">
        <v>37</v>
      </c>
      <c r="D509" s="643" t="s">
        <v>607</v>
      </c>
      <c r="E509" s="640" t="s">
        <v>60</v>
      </c>
      <c r="F509" s="646">
        <v>0.6</v>
      </c>
      <c r="G509" s="65"/>
      <c r="H509" s="673">
        <v>195</v>
      </c>
      <c r="I509" s="665" t="s">
        <v>608</v>
      </c>
      <c r="J509" s="673">
        <v>0</v>
      </c>
      <c r="K509" s="132">
        <v>1</v>
      </c>
      <c r="L509" s="20">
        <v>201700360092</v>
      </c>
      <c r="M509" s="665" t="s">
        <v>558</v>
      </c>
      <c r="N509" s="673" t="s">
        <v>609</v>
      </c>
      <c r="O509" s="665" t="s">
        <v>908</v>
      </c>
      <c r="P509" s="673" t="s">
        <v>41</v>
      </c>
      <c r="Q509" s="346"/>
      <c r="R509" s="346"/>
      <c r="S509" s="346"/>
      <c r="T509" s="346"/>
      <c r="U509" s="346"/>
      <c r="V509" s="346"/>
      <c r="W509" s="346"/>
      <c r="X509" s="346"/>
      <c r="Y509" s="346"/>
      <c r="Z509" s="346"/>
      <c r="AA509" s="346"/>
      <c r="AB509" s="346"/>
      <c r="AC509" s="346"/>
      <c r="AD509" s="346"/>
      <c r="AE509" s="346"/>
      <c r="AF509" s="349">
        <f>60000000+30000000</f>
        <v>90000000</v>
      </c>
      <c r="AG509" s="349"/>
      <c r="AH509" s="346"/>
      <c r="AI509" s="348"/>
      <c r="AJ509" s="348"/>
      <c r="AK509" s="346">
        <f>Q509+R509+S509+T509+U509+V509+W509+X509+Y509+Z509+AA509+AB509+AC509+AD509+AE509+AF509+AG509+AH509+AI509+AJ509</f>
        <v>90000000</v>
      </c>
    </row>
    <row r="510" spans="1:37" ht="30" customHeight="1" x14ac:dyDescent="0.2">
      <c r="A510" s="16"/>
      <c r="B510" s="276"/>
      <c r="C510" s="477"/>
      <c r="D510" s="644"/>
      <c r="E510" s="649"/>
      <c r="F510" s="649"/>
      <c r="G510" s="30"/>
      <c r="H510" s="31"/>
      <c r="I510" s="30"/>
      <c r="J510" s="31"/>
      <c r="K510" s="154"/>
      <c r="L510" s="154"/>
      <c r="M510" s="30"/>
      <c r="N510" s="31"/>
      <c r="O510" s="30"/>
      <c r="P510" s="31"/>
      <c r="Q510" s="355">
        <f t="shared" ref="Q510:AK510" si="122">SUM(Q509:Q509)</f>
        <v>0</v>
      </c>
      <c r="R510" s="355">
        <f t="shared" si="122"/>
        <v>0</v>
      </c>
      <c r="S510" s="355">
        <f t="shared" si="122"/>
        <v>0</v>
      </c>
      <c r="T510" s="355">
        <f t="shared" si="122"/>
        <v>0</v>
      </c>
      <c r="U510" s="355">
        <f t="shared" si="122"/>
        <v>0</v>
      </c>
      <c r="V510" s="355">
        <f t="shared" si="122"/>
        <v>0</v>
      </c>
      <c r="W510" s="355">
        <f t="shared" si="122"/>
        <v>0</v>
      </c>
      <c r="X510" s="355">
        <f t="shared" si="122"/>
        <v>0</v>
      </c>
      <c r="Y510" s="355">
        <f t="shared" si="122"/>
        <v>0</v>
      </c>
      <c r="Z510" s="355">
        <f t="shared" si="122"/>
        <v>0</v>
      </c>
      <c r="AA510" s="355">
        <f t="shared" si="122"/>
        <v>0</v>
      </c>
      <c r="AB510" s="355">
        <f t="shared" si="122"/>
        <v>0</v>
      </c>
      <c r="AC510" s="355">
        <f t="shared" si="122"/>
        <v>0</v>
      </c>
      <c r="AD510" s="355">
        <f t="shared" si="122"/>
        <v>0</v>
      </c>
      <c r="AE510" s="355">
        <f t="shared" si="122"/>
        <v>0</v>
      </c>
      <c r="AF510" s="355">
        <f t="shared" si="122"/>
        <v>90000000</v>
      </c>
      <c r="AG510" s="355">
        <f t="shared" si="122"/>
        <v>0</v>
      </c>
      <c r="AH510" s="355">
        <f t="shared" si="122"/>
        <v>0</v>
      </c>
      <c r="AI510" s="355">
        <f t="shared" si="122"/>
        <v>0</v>
      </c>
      <c r="AJ510" s="355">
        <f t="shared" si="122"/>
        <v>0</v>
      </c>
      <c r="AK510" s="355">
        <f t="shared" si="122"/>
        <v>90000000</v>
      </c>
    </row>
    <row r="511" spans="1:37" ht="30" customHeight="1" x14ac:dyDescent="0.2">
      <c r="A511" s="16"/>
      <c r="B511" s="276"/>
      <c r="C511" s="680"/>
      <c r="D511" s="612"/>
      <c r="E511" s="680"/>
      <c r="F511" s="680"/>
      <c r="G511" s="612"/>
      <c r="H511" s="680"/>
      <c r="I511" s="612"/>
      <c r="J511" s="611"/>
      <c r="K511" s="696"/>
      <c r="L511" s="696"/>
      <c r="M511" s="682"/>
      <c r="N511" s="680"/>
      <c r="O511" s="612"/>
      <c r="P511" s="680"/>
      <c r="Q511" s="683"/>
      <c r="R511" s="684"/>
      <c r="S511" s="683"/>
      <c r="T511" s="683"/>
      <c r="U511" s="683"/>
      <c r="V511" s="683"/>
      <c r="W511" s="683"/>
      <c r="X511" s="683"/>
      <c r="Y511" s="683"/>
      <c r="Z511" s="683"/>
      <c r="AA511" s="683"/>
      <c r="AB511" s="683"/>
      <c r="AC511" s="683"/>
      <c r="AD511" s="683"/>
      <c r="AE511" s="683"/>
      <c r="AF511" s="685"/>
      <c r="AG511" s="687"/>
      <c r="AH511" s="683"/>
      <c r="AI511" s="683"/>
      <c r="AJ511" s="683"/>
      <c r="AK511" s="530"/>
    </row>
    <row r="512" spans="1:37" ht="30" customHeight="1" x14ac:dyDescent="0.2">
      <c r="A512" s="16"/>
      <c r="B512" s="276"/>
      <c r="C512" s="478"/>
      <c r="D512" s="642"/>
      <c r="E512" s="648"/>
      <c r="F512" s="648"/>
      <c r="G512" s="181">
        <v>65</v>
      </c>
      <c r="H512" s="52" t="s">
        <v>610</v>
      </c>
      <c r="I512" s="52"/>
      <c r="J512" s="52"/>
      <c r="K512" s="119"/>
      <c r="L512" s="119"/>
      <c r="M512" s="581"/>
      <c r="N512" s="136"/>
      <c r="O512" s="52"/>
      <c r="P512" s="52"/>
      <c r="Q512" s="231"/>
      <c r="R512" s="231"/>
      <c r="S512" s="231"/>
      <c r="T512" s="231"/>
      <c r="U512" s="231"/>
      <c r="V512" s="231"/>
      <c r="W512" s="231"/>
      <c r="X512" s="231"/>
      <c r="Y512" s="231"/>
      <c r="Z512" s="231"/>
      <c r="AA512" s="231"/>
      <c r="AB512" s="231"/>
      <c r="AC512" s="231"/>
      <c r="AD512" s="231"/>
      <c r="AE512" s="231"/>
      <c r="AF512" s="359"/>
      <c r="AG512" s="231"/>
      <c r="AH512" s="231"/>
      <c r="AI512" s="231"/>
      <c r="AJ512" s="231"/>
      <c r="AK512" s="233"/>
    </row>
    <row r="513" spans="1:37" ht="65.25" customHeight="1" x14ac:dyDescent="0.2">
      <c r="A513" s="16"/>
      <c r="B513" s="275"/>
      <c r="C513" s="638" t="s">
        <v>611</v>
      </c>
      <c r="D513" s="643" t="s">
        <v>612</v>
      </c>
      <c r="E513" s="638" t="s">
        <v>613</v>
      </c>
      <c r="F513" s="647" t="s">
        <v>614</v>
      </c>
      <c r="G513" s="54"/>
      <c r="H513" s="673">
        <v>196</v>
      </c>
      <c r="I513" s="665" t="s">
        <v>615</v>
      </c>
      <c r="J513" s="673">
        <v>0</v>
      </c>
      <c r="K513" s="132">
        <v>1</v>
      </c>
      <c r="L513" s="20">
        <v>201700360093</v>
      </c>
      <c r="M513" s="665" t="s">
        <v>558</v>
      </c>
      <c r="N513" s="673" t="s">
        <v>616</v>
      </c>
      <c r="O513" s="665" t="s">
        <v>909</v>
      </c>
      <c r="P513" s="673" t="s">
        <v>41</v>
      </c>
      <c r="Q513" s="346">
        <v>0</v>
      </c>
      <c r="R513" s="346">
        <v>0</v>
      </c>
      <c r="S513" s="346">
        <v>0</v>
      </c>
      <c r="T513" s="346">
        <v>0</v>
      </c>
      <c r="U513" s="346">
        <v>0</v>
      </c>
      <c r="V513" s="346">
        <v>0</v>
      </c>
      <c r="W513" s="346">
        <v>0</v>
      </c>
      <c r="X513" s="346"/>
      <c r="Y513" s="346"/>
      <c r="Z513" s="346">
        <v>0</v>
      </c>
      <c r="AA513" s="346">
        <v>0</v>
      </c>
      <c r="AB513" s="346"/>
      <c r="AC513" s="346"/>
      <c r="AD513" s="346">
        <v>0</v>
      </c>
      <c r="AE513" s="346">
        <v>0</v>
      </c>
      <c r="AF513" s="347">
        <f>25000000+31400000</f>
        <v>56400000</v>
      </c>
      <c r="AG513" s="347"/>
      <c r="AH513" s="346">
        <v>0</v>
      </c>
      <c r="AI513" s="348"/>
      <c r="AJ513" s="348"/>
      <c r="AK513" s="346">
        <f>Q513+R513+S513+T513+U513+V513+W513+X513+Y513+Z513+AA513+AB513+AC513+AD513+AE513+AF513+AG513+AH513+AI513+AJ513</f>
        <v>56400000</v>
      </c>
    </row>
    <row r="514" spans="1:37" ht="30" customHeight="1" x14ac:dyDescent="0.2">
      <c r="A514" s="16"/>
      <c r="B514" s="276"/>
      <c r="C514" s="477"/>
      <c r="D514" s="644"/>
      <c r="E514" s="649"/>
      <c r="F514" s="649"/>
      <c r="G514" s="239"/>
      <c r="H514" s="31"/>
      <c r="I514" s="30"/>
      <c r="J514" s="31"/>
      <c r="K514" s="154"/>
      <c r="L514" s="154"/>
      <c r="M514" s="30"/>
      <c r="N514" s="31"/>
      <c r="O514" s="30"/>
      <c r="P514" s="31"/>
      <c r="Q514" s="355">
        <f t="shared" ref="Q514:AJ514" si="123">SUM(Q513)</f>
        <v>0</v>
      </c>
      <c r="R514" s="355">
        <f t="shared" si="123"/>
        <v>0</v>
      </c>
      <c r="S514" s="355">
        <f t="shared" si="123"/>
        <v>0</v>
      </c>
      <c r="T514" s="355">
        <f t="shared" si="123"/>
        <v>0</v>
      </c>
      <c r="U514" s="355">
        <f t="shared" si="123"/>
        <v>0</v>
      </c>
      <c r="V514" s="355">
        <f t="shared" si="123"/>
        <v>0</v>
      </c>
      <c r="W514" s="355">
        <f t="shared" si="123"/>
        <v>0</v>
      </c>
      <c r="X514" s="355">
        <f t="shared" si="123"/>
        <v>0</v>
      </c>
      <c r="Y514" s="355">
        <f t="shared" si="123"/>
        <v>0</v>
      </c>
      <c r="Z514" s="355">
        <f t="shared" si="123"/>
        <v>0</v>
      </c>
      <c r="AA514" s="355">
        <f t="shared" si="123"/>
        <v>0</v>
      </c>
      <c r="AB514" s="355">
        <f t="shared" si="123"/>
        <v>0</v>
      </c>
      <c r="AC514" s="355">
        <f t="shared" si="123"/>
        <v>0</v>
      </c>
      <c r="AD514" s="355">
        <f t="shared" si="123"/>
        <v>0</v>
      </c>
      <c r="AE514" s="355">
        <f t="shared" si="123"/>
        <v>0</v>
      </c>
      <c r="AF514" s="355">
        <f t="shared" si="123"/>
        <v>56400000</v>
      </c>
      <c r="AG514" s="355">
        <f t="shared" si="123"/>
        <v>0</v>
      </c>
      <c r="AH514" s="355">
        <f t="shared" si="123"/>
        <v>0</v>
      </c>
      <c r="AI514" s="355">
        <f t="shared" si="123"/>
        <v>0</v>
      </c>
      <c r="AJ514" s="355">
        <f t="shared" si="123"/>
        <v>0</v>
      </c>
      <c r="AK514" s="355">
        <f>SUM(AK513)</f>
        <v>56400000</v>
      </c>
    </row>
    <row r="515" spans="1:37" ht="30" customHeight="1" x14ac:dyDescent="0.2">
      <c r="A515" s="16"/>
      <c r="B515" s="276"/>
      <c r="C515" s="680"/>
      <c r="D515" s="612"/>
      <c r="E515" s="680"/>
      <c r="F515" s="680"/>
      <c r="G515" s="612"/>
      <c r="H515" s="680"/>
      <c r="I515" s="612"/>
      <c r="J515" s="611"/>
      <c r="K515" s="696"/>
      <c r="L515" s="696"/>
      <c r="M515" s="682"/>
      <c r="N515" s="680"/>
      <c r="O515" s="612"/>
      <c r="P515" s="680"/>
      <c r="Q515" s="683"/>
      <c r="R515" s="683"/>
      <c r="S515" s="683"/>
      <c r="T515" s="683"/>
      <c r="U515" s="683"/>
      <c r="V515" s="683"/>
      <c r="W515" s="683"/>
      <c r="X515" s="683"/>
      <c r="Y515" s="683"/>
      <c r="Z515" s="683"/>
      <c r="AA515" s="683"/>
      <c r="AB515" s="683"/>
      <c r="AC515" s="683"/>
      <c r="AD515" s="683"/>
      <c r="AE515" s="683"/>
      <c r="AF515" s="685"/>
      <c r="AG515" s="687"/>
      <c r="AH515" s="683"/>
      <c r="AI515" s="683"/>
      <c r="AJ515" s="683"/>
      <c r="AK515" s="530"/>
    </row>
    <row r="516" spans="1:37" ht="30" customHeight="1" x14ac:dyDescent="0.2">
      <c r="A516" s="16"/>
      <c r="B516" s="276"/>
      <c r="C516" s="478"/>
      <c r="D516" s="642"/>
      <c r="E516" s="648"/>
      <c r="F516" s="648"/>
      <c r="G516" s="50">
        <v>66</v>
      </c>
      <c r="H516" s="52" t="s">
        <v>617</v>
      </c>
      <c r="I516" s="52"/>
      <c r="J516" s="52"/>
      <c r="K516" s="119"/>
      <c r="L516" s="119"/>
      <c r="M516" s="581"/>
      <c r="N516" s="136"/>
      <c r="O516" s="52"/>
      <c r="P516" s="52"/>
      <c r="Q516" s="231"/>
      <c r="R516" s="231"/>
      <c r="S516" s="231"/>
      <c r="T516" s="231"/>
      <c r="U516" s="231"/>
      <c r="V516" s="231"/>
      <c r="W516" s="231"/>
      <c r="X516" s="231"/>
      <c r="Y516" s="231"/>
      <c r="Z516" s="231"/>
      <c r="AA516" s="231"/>
      <c r="AB516" s="231"/>
      <c r="AC516" s="231"/>
      <c r="AD516" s="231"/>
      <c r="AE516" s="231"/>
      <c r="AF516" s="359"/>
      <c r="AG516" s="231"/>
      <c r="AH516" s="231"/>
      <c r="AI516" s="231"/>
      <c r="AJ516" s="231"/>
      <c r="AK516" s="233"/>
    </row>
    <row r="517" spans="1:37" ht="68.25" customHeight="1" x14ac:dyDescent="0.2">
      <c r="A517" s="16"/>
      <c r="B517" s="275"/>
      <c r="C517" s="638">
        <v>21</v>
      </c>
      <c r="D517" s="643" t="s">
        <v>618</v>
      </c>
      <c r="E517" s="638" t="s">
        <v>619</v>
      </c>
      <c r="F517" s="647">
        <v>0.27</v>
      </c>
      <c r="G517" s="65"/>
      <c r="H517" s="663">
        <v>197</v>
      </c>
      <c r="I517" s="665" t="s">
        <v>620</v>
      </c>
      <c r="J517" s="673">
        <v>1</v>
      </c>
      <c r="K517" s="132">
        <v>1</v>
      </c>
      <c r="L517" s="20">
        <v>201700360094</v>
      </c>
      <c r="M517" s="665" t="s">
        <v>558</v>
      </c>
      <c r="N517" s="673" t="s">
        <v>621</v>
      </c>
      <c r="O517" s="665" t="s">
        <v>622</v>
      </c>
      <c r="P517" s="673" t="s">
        <v>41</v>
      </c>
      <c r="Q517" s="346"/>
      <c r="R517" s="346"/>
      <c r="S517" s="346"/>
      <c r="T517" s="346"/>
      <c r="U517" s="346"/>
      <c r="V517" s="346"/>
      <c r="W517" s="346"/>
      <c r="X517" s="346"/>
      <c r="Y517" s="346"/>
      <c r="Z517" s="346"/>
      <c r="AA517" s="346"/>
      <c r="AB517" s="346"/>
      <c r="AC517" s="346"/>
      <c r="AD517" s="346"/>
      <c r="AE517" s="346"/>
      <c r="AF517" s="547">
        <f>45000000+24300000+33520000+75000000</f>
        <v>177820000</v>
      </c>
      <c r="AG517" s="360"/>
      <c r="AH517" s="346"/>
      <c r="AI517" s="348"/>
      <c r="AJ517" s="348"/>
      <c r="AK517" s="346">
        <f>Q517+R517+S517+T517+U517+V517+W517+X517+Y517+Z517+AA517+AB517+AC517+AD517+AE517+AF517+AG517+AH517+AI517+AJ517</f>
        <v>177820000</v>
      </c>
    </row>
    <row r="518" spans="1:37" ht="30" customHeight="1" x14ac:dyDescent="0.2">
      <c r="A518" s="16"/>
      <c r="B518" s="278"/>
      <c r="C518" s="477"/>
      <c r="D518" s="644"/>
      <c r="E518" s="649"/>
      <c r="F518" s="649"/>
      <c r="G518" s="30"/>
      <c r="H518" s="31"/>
      <c r="I518" s="30"/>
      <c r="J518" s="31"/>
      <c r="K518" s="154"/>
      <c r="L518" s="154"/>
      <c r="M518" s="30"/>
      <c r="N518" s="31"/>
      <c r="O518" s="30"/>
      <c r="P518" s="31"/>
      <c r="Q518" s="355">
        <f t="shared" ref="Q518:AK518" si="124">SUM(Q517:Q517)</f>
        <v>0</v>
      </c>
      <c r="R518" s="355">
        <f t="shared" si="124"/>
        <v>0</v>
      </c>
      <c r="S518" s="355">
        <f t="shared" si="124"/>
        <v>0</v>
      </c>
      <c r="T518" s="355">
        <f t="shared" si="124"/>
        <v>0</v>
      </c>
      <c r="U518" s="355">
        <f t="shared" si="124"/>
        <v>0</v>
      </c>
      <c r="V518" s="355">
        <f t="shared" si="124"/>
        <v>0</v>
      </c>
      <c r="W518" s="355">
        <f t="shared" si="124"/>
        <v>0</v>
      </c>
      <c r="X518" s="355">
        <f t="shared" si="124"/>
        <v>0</v>
      </c>
      <c r="Y518" s="355">
        <f t="shared" si="124"/>
        <v>0</v>
      </c>
      <c r="Z518" s="355">
        <f t="shared" si="124"/>
        <v>0</v>
      </c>
      <c r="AA518" s="355">
        <f t="shared" si="124"/>
        <v>0</v>
      </c>
      <c r="AB518" s="355">
        <f t="shared" si="124"/>
        <v>0</v>
      </c>
      <c r="AC518" s="355">
        <f t="shared" si="124"/>
        <v>0</v>
      </c>
      <c r="AD518" s="355">
        <f t="shared" si="124"/>
        <v>0</v>
      </c>
      <c r="AE518" s="355">
        <f t="shared" si="124"/>
        <v>0</v>
      </c>
      <c r="AF518" s="355">
        <f t="shared" si="124"/>
        <v>177820000</v>
      </c>
      <c r="AG518" s="355">
        <f t="shared" si="124"/>
        <v>0</v>
      </c>
      <c r="AH518" s="355">
        <f t="shared" si="124"/>
        <v>0</v>
      </c>
      <c r="AI518" s="355">
        <f t="shared" si="124"/>
        <v>0</v>
      </c>
      <c r="AJ518" s="355">
        <f t="shared" si="124"/>
        <v>0</v>
      </c>
      <c r="AK518" s="355">
        <f t="shared" si="124"/>
        <v>177820000</v>
      </c>
    </row>
    <row r="519" spans="1:37" ht="30" customHeight="1" x14ac:dyDescent="0.2">
      <c r="A519" s="16"/>
      <c r="B519" s="68"/>
      <c r="C519" s="35"/>
      <c r="D519" s="34"/>
      <c r="E519" s="35"/>
      <c r="F519" s="35"/>
      <c r="G519" s="34"/>
      <c r="H519" s="35"/>
      <c r="I519" s="34"/>
      <c r="J519" s="35"/>
      <c r="K519" s="170"/>
      <c r="L519" s="170"/>
      <c r="M519" s="34"/>
      <c r="N519" s="35"/>
      <c r="O519" s="34"/>
      <c r="P519" s="35"/>
      <c r="Q519" s="361">
        <f t="shared" ref="Q519:AK519" si="125">Q518+Q514+Q510+Q506+Q501</f>
        <v>0</v>
      </c>
      <c r="R519" s="361">
        <f t="shared" si="125"/>
        <v>0</v>
      </c>
      <c r="S519" s="361">
        <f t="shared" si="125"/>
        <v>0</v>
      </c>
      <c r="T519" s="361">
        <f t="shared" si="125"/>
        <v>0</v>
      </c>
      <c r="U519" s="361">
        <f t="shared" si="125"/>
        <v>0</v>
      </c>
      <c r="V519" s="361">
        <f t="shared" si="125"/>
        <v>0</v>
      </c>
      <c r="W519" s="361">
        <f t="shared" si="125"/>
        <v>0</v>
      </c>
      <c r="X519" s="361">
        <f t="shared" si="125"/>
        <v>0</v>
      </c>
      <c r="Y519" s="361">
        <f t="shared" si="125"/>
        <v>0</v>
      </c>
      <c r="Z519" s="361">
        <f t="shared" si="125"/>
        <v>0</v>
      </c>
      <c r="AA519" s="361">
        <f t="shared" si="125"/>
        <v>0</v>
      </c>
      <c r="AB519" s="361">
        <f t="shared" si="125"/>
        <v>0</v>
      </c>
      <c r="AC519" s="361">
        <f t="shared" si="125"/>
        <v>0</v>
      </c>
      <c r="AD519" s="361">
        <f t="shared" si="125"/>
        <v>0</v>
      </c>
      <c r="AE519" s="361">
        <f t="shared" si="125"/>
        <v>0</v>
      </c>
      <c r="AF519" s="361">
        <f t="shared" si="125"/>
        <v>1809220000</v>
      </c>
      <c r="AG519" s="361">
        <f t="shared" si="125"/>
        <v>0</v>
      </c>
      <c r="AH519" s="361">
        <f t="shared" si="125"/>
        <v>0</v>
      </c>
      <c r="AI519" s="361">
        <f t="shared" si="125"/>
        <v>0</v>
      </c>
      <c r="AJ519" s="361">
        <f t="shared" si="125"/>
        <v>0</v>
      </c>
      <c r="AK519" s="361">
        <f t="shared" si="125"/>
        <v>1809220000</v>
      </c>
    </row>
    <row r="520" spans="1:37" ht="30" customHeight="1" x14ac:dyDescent="0.2">
      <c r="A520" s="16"/>
      <c r="B520" s="272"/>
      <c r="C520" s="273"/>
      <c r="D520" s="44"/>
      <c r="E520" s="116"/>
      <c r="F520" s="116"/>
      <c r="G520" s="44"/>
      <c r="H520" s="116"/>
      <c r="I520" s="44"/>
      <c r="J520" s="116"/>
      <c r="K520" s="158"/>
      <c r="L520" s="158"/>
      <c r="M520" s="44"/>
      <c r="N520" s="116"/>
      <c r="O520" s="44"/>
      <c r="P520" s="116"/>
      <c r="Q520" s="350"/>
      <c r="R520" s="350"/>
      <c r="S520" s="350"/>
      <c r="T520" s="350"/>
      <c r="U520" s="350"/>
      <c r="V520" s="350"/>
      <c r="W520" s="350"/>
      <c r="X520" s="350"/>
      <c r="Y520" s="350"/>
      <c r="Z520" s="350"/>
      <c r="AA520" s="350"/>
      <c r="AB520" s="350"/>
      <c r="AC520" s="350"/>
      <c r="AD520" s="350"/>
      <c r="AE520" s="350"/>
      <c r="AF520" s="352"/>
      <c r="AG520" s="353"/>
      <c r="AH520" s="350"/>
      <c r="AI520" s="350"/>
      <c r="AJ520" s="350"/>
      <c r="AK520" s="354"/>
    </row>
    <row r="521" spans="1:37" ht="30" customHeight="1" x14ac:dyDescent="0.2">
      <c r="A521" s="16"/>
      <c r="B521" s="93">
        <v>19</v>
      </c>
      <c r="C521" s="11" t="s">
        <v>623</v>
      </c>
      <c r="D521" s="12"/>
      <c r="E521" s="12"/>
      <c r="F521" s="12"/>
      <c r="G521" s="12"/>
      <c r="H521" s="13"/>
      <c r="I521" s="12"/>
      <c r="J521" s="12"/>
      <c r="K521" s="164"/>
      <c r="L521" s="164"/>
      <c r="M521" s="579"/>
      <c r="N521" s="13"/>
      <c r="O521" s="12"/>
      <c r="P521" s="12"/>
      <c r="Q521" s="357"/>
      <c r="R521" s="357"/>
      <c r="S521" s="357"/>
      <c r="T521" s="357"/>
      <c r="U521" s="357"/>
      <c r="V521" s="357"/>
      <c r="W521" s="357"/>
      <c r="X521" s="357"/>
      <c r="Y521" s="357"/>
      <c r="Z521" s="357"/>
      <c r="AA521" s="357"/>
      <c r="AB521" s="357"/>
      <c r="AC521" s="357"/>
      <c r="AD521" s="357"/>
      <c r="AE521" s="357"/>
      <c r="AF521" s="358"/>
      <c r="AG521" s="357"/>
      <c r="AH521" s="357"/>
      <c r="AI521" s="357"/>
      <c r="AJ521" s="357"/>
      <c r="AK521" s="362"/>
    </row>
    <row r="522" spans="1:37" ht="30" customHeight="1" x14ac:dyDescent="0.2">
      <c r="A522" s="16"/>
      <c r="B522" s="274"/>
      <c r="C522" s="280"/>
      <c r="D522" s="665"/>
      <c r="E522" s="673"/>
      <c r="F522" s="673"/>
      <c r="G522" s="181">
        <v>67</v>
      </c>
      <c r="H522" s="52" t="s">
        <v>624</v>
      </c>
      <c r="I522" s="52"/>
      <c r="J522" s="52"/>
      <c r="K522" s="119"/>
      <c r="L522" s="119"/>
      <c r="M522" s="581"/>
      <c r="N522" s="136"/>
      <c r="O522" s="52"/>
      <c r="P522" s="52"/>
      <c r="Q522" s="231"/>
      <c r="R522" s="231"/>
      <c r="S522" s="231"/>
      <c r="T522" s="231"/>
      <c r="U522" s="231"/>
      <c r="V522" s="231"/>
      <c r="W522" s="231"/>
      <c r="X522" s="231"/>
      <c r="Y522" s="231"/>
      <c r="Z522" s="231"/>
      <c r="AA522" s="231"/>
      <c r="AB522" s="231"/>
      <c r="AC522" s="231"/>
      <c r="AD522" s="231"/>
      <c r="AE522" s="231"/>
      <c r="AF522" s="359"/>
      <c r="AG522" s="231"/>
      <c r="AH522" s="231"/>
      <c r="AI522" s="231"/>
      <c r="AJ522" s="231"/>
      <c r="AK522" s="233"/>
    </row>
    <row r="523" spans="1:37" s="557" customFormat="1" ht="73.5" customHeight="1" x14ac:dyDescent="0.25">
      <c r="A523" s="16"/>
      <c r="B523" s="275"/>
      <c r="C523" s="731">
        <v>35</v>
      </c>
      <c r="D523" s="731" t="s">
        <v>625</v>
      </c>
      <c r="E523" s="731" t="s">
        <v>626</v>
      </c>
      <c r="F523" s="731" t="s">
        <v>627</v>
      </c>
      <c r="G523" s="17"/>
      <c r="H523" s="116">
        <v>198</v>
      </c>
      <c r="I523" s="665" t="s">
        <v>628</v>
      </c>
      <c r="J523" s="673">
        <v>1</v>
      </c>
      <c r="K523" s="132">
        <v>1</v>
      </c>
      <c r="L523" s="743">
        <v>201700360095</v>
      </c>
      <c r="M523" s="734" t="s">
        <v>558</v>
      </c>
      <c r="N523" s="731" t="s">
        <v>629</v>
      </c>
      <c r="O523" s="734" t="s">
        <v>910</v>
      </c>
      <c r="P523" s="673" t="s">
        <v>41</v>
      </c>
      <c r="Q523" s="346">
        <v>0</v>
      </c>
      <c r="R523" s="346">
        <v>0</v>
      </c>
      <c r="S523" s="346"/>
      <c r="T523" s="346">
        <v>0</v>
      </c>
      <c r="U523" s="346">
        <v>0</v>
      </c>
      <c r="V523" s="346">
        <v>0</v>
      </c>
      <c r="W523" s="346">
        <v>0</v>
      </c>
      <c r="X523" s="346"/>
      <c r="Y523" s="346"/>
      <c r="Z523" s="346">
        <v>0</v>
      </c>
      <c r="AA523" s="346">
        <v>0</v>
      </c>
      <c r="AB523" s="346"/>
      <c r="AC523" s="346"/>
      <c r="AD523" s="346">
        <v>0</v>
      </c>
      <c r="AE523" s="346">
        <v>0</v>
      </c>
      <c r="AF523" s="548">
        <f>44000000+40480000</f>
        <v>84480000</v>
      </c>
      <c r="AG523" s="349"/>
      <c r="AH523" s="346">
        <v>0</v>
      </c>
      <c r="AI523" s="348"/>
      <c r="AJ523" s="348"/>
      <c r="AK523" s="346">
        <f>Q523+R523+S523+T523+U523+V523+W523+X523+Y523+Z523+AA523+AB523+AC523+AD523+AE523+AF523+AG523+AH523+AI523+AJ523</f>
        <v>84480000</v>
      </c>
    </row>
    <row r="524" spans="1:37" s="557" customFormat="1" ht="73.5" customHeight="1" x14ac:dyDescent="0.25">
      <c r="A524" s="16"/>
      <c r="B524" s="275"/>
      <c r="C524" s="732"/>
      <c r="D524" s="732"/>
      <c r="E524" s="732"/>
      <c r="F524" s="732"/>
      <c r="G524" s="23"/>
      <c r="H524" s="673">
        <v>199</v>
      </c>
      <c r="I524" s="665" t="s">
        <v>630</v>
      </c>
      <c r="J524" s="673">
        <v>0</v>
      </c>
      <c r="K524" s="132">
        <v>4</v>
      </c>
      <c r="L524" s="744"/>
      <c r="M524" s="735"/>
      <c r="N524" s="732"/>
      <c r="O524" s="735"/>
      <c r="P524" s="673" t="s">
        <v>41</v>
      </c>
      <c r="Q524" s="346"/>
      <c r="R524" s="346"/>
      <c r="S524" s="346"/>
      <c r="T524" s="346"/>
      <c r="U524" s="346"/>
      <c r="V524" s="346"/>
      <c r="W524" s="346"/>
      <c r="X524" s="346"/>
      <c r="Y524" s="346"/>
      <c r="Z524" s="346"/>
      <c r="AA524" s="346"/>
      <c r="AB524" s="346"/>
      <c r="AC524" s="346"/>
      <c r="AD524" s="346"/>
      <c r="AE524" s="346"/>
      <c r="AF524" s="349">
        <f>37000000+24300000</f>
        <v>61300000</v>
      </c>
      <c r="AG524" s="349"/>
      <c r="AH524" s="346"/>
      <c r="AI524" s="348"/>
      <c r="AJ524" s="348"/>
      <c r="AK524" s="346">
        <f>Q524+R524+S524+T524+U524+V524+W524+X524+Y524+Z524+AA524+AB524+AC524+AD524+AE524+AF524+AG524+AH524+AI524+AJ524</f>
        <v>61300000</v>
      </c>
    </row>
    <row r="525" spans="1:37" ht="30" customHeight="1" x14ac:dyDescent="0.2">
      <c r="A525" s="16"/>
      <c r="B525" s="275"/>
      <c r="C525" s="732"/>
      <c r="D525" s="732"/>
      <c r="E525" s="732"/>
      <c r="F525" s="732"/>
      <c r="G525" s="23"/>
      <c r="H525" s="116">
        <v>200</v>
      </c>
      <c r="I525" s="665" t="s">
        <v>631</v>
      </c>
      <c r="J525" s="673">
        <v>12</v>
      </c>
      <c r="K525" s="132">
        <v>12</v>
      </c>
      <c r="L525" s="744"/>
      <c r="M525" s="735"/>
      <c r="N525" s="732"/>
      <c r="O525" s="735"/>
      <c r="P525" s="673" t="s">
        <v>41</v>
      </c>
      <c r="Q525" s="346">
        <v>0</v>
      </c>
      <c r="R525" s="548">
        <f>1059360000+186430364.4-115968459</f>
        <v>1129821905.4000001</v>
      </c>
      <c r="S525" s="346"/>
      <c r="T525" s="346">
        <v>0</v>
      </c>
      <c r="U525" s="346">
        <v>0</v>
      </c>
      <c r="V525" s="346">
        <v>0</v>
      </c>
      <c r="W525" s="346">
        <v>0</v>
      </c>
      <c r="X525" s="346"/>
      <c r="Y525" s="346"/>
      <c r="Z525" s="346">
        <v>0</v>
      </c>
      <c r="AA525" s="346">
        <v>0</v>
      </c>
      <c r="AB525" s="346"/>
      <c r="AC525" s="346"/>
      <c r="AD525" s="346">
        <v>0</v>
      </c>
      <c r="AE525" s="346">
        <v>0</v>
      </c>
      <c r="AF525" s="347"/>
      <c r="AG525" s="360"/>
      <c r="AH525" s="346">
        <v>0</v>
      </c>
      <c r="AI525" s="348"/>
      <c r="AJ525" s="348"/>
      <c r="AK525" s="346">
        <f>Q525+R525+S525+T525+U525+V525+W525+X525+Y525+Z525+AA525+AB525+AC525+AD525+AE525+AF525+AG525+AH525+AI525+AJ525</f>
        <v>1129821905.4000001</v>
      </c>
    </row>
    <row r="526" spans="1:37" ht="75" customHeight="1" x14ac:dyDescent="0.2">
      <c r="A526" s="16"/>
      <c r="B526" s="275"/>
      <c r="C526" s="733"/>
      <c r="D526" s="733"/>
      <c r="E526" s="733"/>
      <c r="F526" s="733"/>
      <c r="G526" s="65"/>
      <c r="H526" s="116">
        <v>201</v>
      </c>
      <c r="I526" s="665" t="s">
        <v>632</v>
      </c>
      <c r="J526" s="673">
        <v>14</v>
      </c>
      <c r="K526" s="132">
        <v>14</v>
      </c>
      <c r="L526" s="745"/>
      <c r="M526" s="736"/>
      <c r="N526" s="733"/>
      <c r="O526" s="736"/>
      <c r="P526" s="673" t="s">
        <v>41</v>
      </c>
      <c r="Q526" s="346">
        <v>0</v>
      </c>
      <c r="R526" s="548">
        <f>2471840000+79898727.6+87901586+115968459</f>
        <v>2755608772.5999999</v>
      </c>
      <c r="S526" s="346">
        <v>0</v>
      </c>
      <c r="T526" s="346">
        <v>0</v>
      </c>
      <c r="U526" s="346">
        <v>0</v>
      </c>
      <c r="V526" s="346">
        <v>0</v>
      </c>
      <c r="W526" s="346">
        <v>0</v>
      </c>
      <c r="X526" s="346"/>
      <c r="Y526" s="346"/>
      <c r="Z526" s="346">
        <v>0</v>
      </c>
      <c r="AA526" s="346">
        <v>0</v>
      </c>
      <c r="AB526" s="346"/>
      <c r="AC526" s="346"/>
      <c r="AD526" s="346">
        <v>0</v>
      </c>
      <c r="AE526" s="346">
        <v>0</v>
      </c>
      <c r="AF526" s="347">
        <v>0</v>
      </c>
      <c r="AG526" s="360"/>
      <c r="AH526" s="346">
        <v>0</v>
      </c>
      <c r="AI526" s="348"/>
      <c r="AJ526" s="348"/>
      <c r="AK526" s="346">
        <f>Q526+R526+S526+T526+U526+V526+W526+X526+Y526+Z526+AA526+AB526+AC526+AD526+AE526+AF526+AG526+AH526+AI526+AJ526</f>
        <v>2755608772.5999999</v>
      </c>
    </row>
    <row r="527" spans="1:37" ht="30" customHeight="1" x14ac:dyDescent="0.2">
      <c r="A527" s="16"/>
      <c r="B527" s="278"/>
      <c r="C527" s="281"/>
      <c r="D527" s="665"/>
      <c r="E527" s="673"/>
      <c r="F527" s="673"/>
      <c r="G527" s="30"/>
      <c r="H527" s="31"/>
      <c r="I527" s="30"/>
      <c r="J527" s="31"/>
      <c r="K527" s="154"/>
      <c r="L527" s="154"/>
      <c r="M527" s="30"/>
      <c r="N527" s="31"/>
      <c r="O527" s="282"/>
      <c r="P527" s="31"/>
      <c r="Q527" s="355">
        <f t="shared" ref="Q527:AJ527" si="126">SUM(Q523:Q526)</f>
        <v>0</v>
      </c>
      <c r="R527" s="355">
        <f t="shared" si="126"/>
        <v>3885430678</v>
      </c>
      <c r="S527" s="355">
        <f t="shared" si="126"/>
        <v>0</v>
      </c>
      <c r="T527" s="355">
        <f t="shared" si="126"/>
        <v>0</v>
      </c>
      <c r="U527" s="355">
        <f t="shared" si="126"/>
        <v>0</v>
      </c>
      <c r="V527" s="355">
        <f t="shared" si="126"/>
        <v>0</v>
      </c>
      <c r="W527" s="355">
        <f t="shared" si="126"/>
        <v>0</v>
      </c>
      <c r="X527" s="355">
        <f t="shared" si="126"/>
        <v>0</v>
      </c>
      <c r="Y527" s="355">
        <f t="shared" si="126"/>
        <v>0</v>
      </c>
      <c r="Z527" s="355">
        <f t="shared" si="126"/>
        <v>0</v>
      </c>
      <c r="AA527" s="355">
        <f t="shared" si="126"/>
        <v>0</v>
      </c>
      <c r="AB527" s="355">
        <f t="shared" si="126"/>
        <v>0</v>
      </c>
      <c r="AC527" s="355">
        <f t="shared" si="126"/>
        <v>0</v>
      </c>
      <c r="AD527" s="355">
        <f t="shared" si="126"/>
        <v>0</v>
      </c>
      <c r="AE527" s="355">
        <f t="shared" si="126"/>
        <v>0</v>
      </c>
      <c r="AF527" s="355">
        <f t="shared" si="126"/>
        <v>145780000</v>
      </c>
      <c r="AG527" s="355">
        <f t="shared" si="126"/>
        <v>0</v>
      </c>
      <c r="AH527" s="355">
        <f t="shared" si="126"/>
        <v>0</v>
      </c>
      <c r="AI527" s="355">
        <f t="shared" si="126"/>
        <v>0</v>
      </c>
      <c r="AJ527" s="355">
        <f t="shared" si="126"/>
        <v>0</v>
      </c>
      <c r="AK527" s="355">
        <f>SUM(AK523:AK526)</f>
        <v>4031210678</v>
      </c>
    </row>
    <row r="528" spans="1:37" ht="30" customHeight="1" x14ac:dyDescent="0.2">
      <c r="A528" s="29"/>
      <c r="B528" s="68"/>
      <c r="C528" s="35"/>
      <c r="D528" s="34"/>
      <c r="E528" s="35"/>
      <c r="F528" s="35"/>
      <c r="G528" s="34"/>
      <c r="H528" s="35"/>
      <c r="I528" s="34"/>
      <c r="J528" s="35"/>
      <c r="K528" s="170"/>
      <c r="L528" s="170"/>
      <c r="M528" s="34"/>
      <c r="N528" s="35"/>
      <c r="O528" s="283"/>
      <c r="P528" s="35"/>
      <c r="Q528" s="361">
        <f t="shared" ref="Q528:AK528" si="127">Q527</f>
        <v>0</v>
      </c>
      <c r="R528" s="361">
        <f t="shared" si="127"/>
        <v>3885430678</v>
      </c>
      <c r="S528" s="361">
        <f t="shared" si="127"/>
        <v>0</v>
      </c>
      <c r="T528" s="361">
        <f t="shared" si="127"/>
        <v>0</v>
      </c>
      <c r="U528" s="361">
        <f t="shared" si="127"/>
        <v>0</v>
      </c>
      <c r="V528" s="361">
        <f t="shared" si="127"/>
        <v>0</v>
      </c>
      <c r="W528" s="361">
        <f t="shared" si="127"/>
        <v>0</v>
      </c>
      <c r="X528" s="361">
        <f t="shared" si="127"/>
        <v>0</v>
      </c>
      <c r="Y528" s="361">
        <f t="shared" si="127"/>
        <v>0</v>
      </c>
      <c r="Z528" s="361">
        <f t="shared" si="127"/>
        <v>0</v>
      </c>
      <c r="AA528" s="361">
        <f t="shared" si="127"/>
        <v>0</v>
      </c>
      <c r="AB528" s="361">
        <f t="shared" si="127"/>
        <v>0</v>
      </c>
      <c r="AC528" s="361">
        <f t="shared" si="127"/>
        <v>0</v>
      </c>
      <c r="AD528" s="361">
        <f t="shared" si="127"/>
        <v>0</v>
      </c>
      <c r="AE528" s="361">
        <f t="shared" si="127"/>
        <v>0</v>
      </c>
      <c r="AF528" s="361">
        <f t="shared" si="127"/>
        <v>145780000</v>
      </c>
      <c r="AG528" s="361">
        <f t="shared" si="127"/>
        <v>0</v>
      </c>
      <c r="AH528" s="361">
        <f t="shared" si="127"/>
        <v>0</v>
      </c>
      <c r="AI528" s="361">
        <f t="shared" si="127"/>
        <v>0</v>
      </c>
      <c r="AJ528" s="361">
        <f t="shared" si="127"/>
        <v>0</v>
      </c>
      <c r="AK528" s="361">
        <f t="shared" si="127"/>
        <v>4031210678</v>
      </c>
    </row>
    <row r="529" spans="1:37" ht="30" customHeight="1" x14ac:dyDescent="0.2">
      <c r="A529" s="37"/>
      <c r="B529" s="37"/>
      <c r="C529" s="38"/>
      <c r="D529" s="37"/>
      <c r="E529" s="38"/>
      <c r="F529" s="38"/>
      <c r="G529" s="37"/>
      <c r="H529" s="38"/>
      <c r="I529" s="37"/>
      <c r="J529" s="38"/>
      <c r="K529" s="173"/>
      <c r="L529" s="173"/>
      <c r="M529" s="37"/>
      <c r="N529" s="38"/>
      <c r="O529" s="284"/>
      <c r="P529" s="38"/>
      <c r="Q529" s="367">
        <f t="shared" ref="Q529:AJ529" si="128">Q528+Q519+Q495+Q473</f>
        <v>0</v>
      </c>
      <c r="R529" s="367">
        <f t="shared" si="128"/>
        <v>3885430678</v>
      </c>
      <c r="S529" s="367">
        <f t="shared" si="128"/>
        <v>0</v>
      </c>
      <c r="T529" s="367">
        <f t="shared" si="128"/>
        <v>0</v>
      </c>
      <c r="U529" s="367">
        <f t="shared" si="128"/>
        <v>0</v>
      </c>
      <c r="V529" s="367">
        <f t="shared" si="128"/>
        <v>0</v>
      </c>
      <c r="W529" s="367">
        <f t="shared" si="128"/>
        <v>0</v>
      </c>
      <c r="X529" s="367">
        <f t="shared" si="128"/>
        <v>0</v>
      </c>
      <c r="Y529" s="367">
        <f t="shared" si="128"/>
        <v>0</v>
      </c>
      <c r="Z529" s="367">
        <f t="shared" si="128"/>
        <v>0</v>
      </c>
      <c r="AA529" s="367">
        <f t="shared" si="128"/>
        <v>0</v>
      </c>
      <c r="AB529" s="367">
        <f t="shared" si="128"/>
        <v>0</v>
      </c>
      <c r="AC529" s="367">
        <f t="shared" si="128"/>
        <v>0</v>
      </c>
      <c r="AD529" s="367">
        <f t="shared" si="128"/>
        <v>0</v>
      </c>
      <c r="AE529" s="367">
        <f t="shared" si="128"/>
        <v>0</v>
      </c>
      <c r="AF529" s="367">
        <f t="shared" si="128"/>
        <v>3011000000</v>
      </c>
      <c r="AG529" s="367">
        <f t="shared" si="128"/>
        <v>0</v>
      </c>
      <c r="AH529" s="367">
        <f t="shared" si="128"/>
        <v>0</v>
      </c>
      <c r="AI529" s="367">
        <f t="shared" si="128"/>
        <v>0</v>
      </c>
      <c r="AJ529" s="367">
        <f t="shared" si="128"/>
        <v>0</v>
      </c>
      <c r="AK529" s="367">
        <f>AK528+AK519+AK495+AK473</f>
        <v>6896430678</v>
      </c>
    </row>
    <row r="530" spans="1:37" ht="30" customHeight="1" x14ac:dyDescent="0.2">
      <c r="A530" s="40"/>
      <c r="B530" s="40"/>
      <c r="C530" s="41"/>
      <c r="D530" s="40"/>
      <c r="E530" s="41"/>
      <c r="F530" s="41"/>
      <c r="G530" s="40"/>
      <c r="H530" s="41"/>
      <c r="I530" s="285"/>
      <c r="J530" s="42"/>
      <c r="K530" s="271"/>
      <c r="L530" s="271"/>
      <c r="M530" s="285"/>
      <c r="N530" s="41"/>
      <c r="O530" s="40"/>
      <c r="P530" s="41"/>
      <c r="Q530" s="368">
        <f t="shared" ref="Q530:AK530" si="129">+Q529</f>
        <v>0</v>
      </c>
      <c r="R530" s="368">
        <f t="shared" si="129"/>
        <v>3885430678</v>
      </c>
      <c r="S530" s="368">
        <f t="shared" si="129"/>
        <v>0</v>
      </c>
      <c r="T530" s="368">
        <f t="shared" si="129"/>
        <v>0</v>
      </c>
      <c r="U530" s="368">
        <f t="shared" si="129"/>
        <v>0</v>
      </c>
      <c r="V530" s="368">
        <f t="shared" si="129"/>
        <v>0</v>
      </c>
      <c r="W530" s="368">
        <f t="shared" si="129"/>
        <v>0</v>
      </c>
      <c r="X530" s="368">
        <f t="shared" si="129"/>
        <v>0</v>
      </c>
      <c r="Y530" s="368">
        <f t="shared" si="129"/>
        <v>0</v>
      </c>
      <c r="Z530" s="368">
        <f t="shared" si="129"/>
        <v>0</v>
      </c>
      <c r="AA530" s="368">
        <f t="shared" si="129"/>
        <v>0</v>
      </c>
      <c r="AB530" s="368">
        <f t="shared" si="129"/>
        <v>0</v>
      </c>
      <c r="AC530" s="368">
        <f t="shared" si="129"/>
        <v>0</v>
      </c>
      <c r="AD530" s="368">
        <f t="shared" si="129"/>
        <v>0</v>
      </c>
      <c r="AE530" s="368">
        <f t="shared" si="129"/>
        <v>0</v>
      </c>
      <c r="AF530" s="368">
        <f t="shared" si="129"/>
        <v>3011000000</v>
      </c>
      <c r="AG530" s="368">
        <f t="shared" si="129"/>
        <v>0</v>
      </c>
      <c r="AH530" s="368">
        <f t="shared" si="129"/>
        <v>0</v>
      </c>
      <c r="AI530" s="368">
        <f t="shared" si="129"/>
        <v>0</v>
      </c>
      <c r="AJ530" s="368">
        <f t="shared" si="129"/>
        <v>0</v>
      </c>
      <c r="AK530" s="368">
        <f t="shared" si="129"/>
        <v>6896430678</v>
      </c>
    </row>
    <row r="531" spans="1:37" ht="30" customHeight="1" x14ac:dyDescent="0.2">
      <c r="A531" s="43"/>
      <c r="B531" s="44"/>
      <c r="C531" s="116"/>
      <c r="D531" s="44"/>
      <c r="E531" s="116"/>
      <c r="F531" s="116"/>
      <c r="G531" s="44"/>
      <c r="H531" s="116"/>
      <c r="I531" s="62"/>
      <c r="J531" s="45"/>
      <c r="K531" s="160"/>
      <c r="L531" s="160"/>
      <c r="M531" s="62"/>
      <c r="N531" s="116"/>
      <c r="O531" s="44"/>
      <c r="P531" s="116"/>
      <c r="Q531" s="350"/>
      <c r="R531" s="351"/>
      <c r="S531" s="350"/>
      <c r="T531" s="350"/>
      <c r="U531" s="350"/>
      <c r="V531" s="350"/>
      <c r="W531" s="350"/>
      <c r="X531" s="350"/>
      <c r="Y531" s="350"/>
      <c r="Z531" s="350"/>
      <c r="AA531" s="350"/>
      <c r="AB531" s="351"/>
      <c r="AC531" s="351"/>
      <c r="AD531" s="350"/>
      <c r="AE531" s="350"/>
      <c r="AF531" s="352" t="s">
        <v>56</v>
      </c>
      <c r="AG531" s="353"/>
      <c r="AH531" s="350"/>
      <c r="AI531" s="350"/>
      <c r="AJ531" s="350"/>
      <c r="AK531" s="354" t="s">
        <v>56</v>
      </c>
    </row>
    <row r="532" spans="1:37" s="557" customFormat="1" ht="30" customHeight="1" x14ac:dyDescent="0.25">
      <c r="A532" s="4" t="s">
        <v>633</v>
      </c>
      <c r="B532" s="5"/>
      <c r="C532" s="6"/>
      <c r="D532" s="5"/>
      <c r="E532" s="5"/>
      <c r="F532" s="5"/>
      <c r="G532" s="5"/>
      <c r="H532" s="6"/>
      <c r="I532" s="5"/>
      <c r="J532" s="5"/>
      <c r="K532" s="179"/>
      <c r="L532" s="179"/>
      <c r="M532" s="577"/>
      <c r="N532" s="6"/>
      <c r="O532" s="5"/>
      <c r="P532" s="6"/>
      <c r="Q532" s="413"/>
      <c r="R532" s="413"/>
      <c r="S532" s="413"/>
      <c r="T532" s="413"/>
      <c r="U532" s="413"/>
      <c r="V532" s="413"/>
      <c r="W532" s="413"/>
      <c r="X532" s="413"/>
      <c r="Y532" s="413"/>
      <c r="Z532" s="413"/>
      <c r="AA532" s="413"/>
      <c r="AB532" s="413"/>
      <c r="AC532" s="413"/>
      <c r="AD532" s="413"/>
      <c r="AE532" s="413"/>
      <c r="AF532" s="414"/>
      <c r="AG532" s="415"/>
      <c r="AH532" s="413"/>
      <c r="AI532" s="413"/>
      <c r="AJ532" s="413"/>
      <c r="AK532" s="416"/>
    </row>
    <row r="533" spans="1:37" s="557" customFormat="1" ht="30" customHeight="1" x14ac:dyDescent="0.25">
      <c r="A533" s="679">
        <v>5</v>
      </c>
      <c r="B533" s="7" t="s">
        <v>26</v>
      </c>
      <c r="C533" s="8"/>
      <c r="D533" s="7"/>
      <c r="E533" s="7"/>
      <c r="F533" s="7"/>
      <c r="G533" s="7"/>
      <c r="H533" s="8"/>
      <c r="I533" s="7"/>
      <c r="J533" s="7"/>
      <c r="K533" s="180"/>
      <c r="L533" s="180"/>
      <c r="M533" s="578"/>
      <c r="N533" s="8"/>
      <c r="O533" s="7"/>
      <c r="P533" s="7"/>
      <c r="Q533" s="376"/>
      <c r="R533" s="376"/>
      <c r="S533" s="376"/>
      <c r="T533" s="376"/>
      <c r="U533" s="376"/>
      <c r="V533" s="376"/>
      <c r="W533" s="376"/>
      <c r="X533" s="376"/>
      <c r="Y533" s="376"/>
      <c r="Z533" s="376"/>
      <c r="AA533" s="376"/>
      <c r="AB533" s="376"/>
      <c r="AC533" s="376"/>
      <c r="AD533" s="376"/>
      <c r="AE533" s="376"/>
      <c r="AF533" s="377"/>
      <c r="AG533" s="376"/>
      <c r="AH533" s="376"/>
      <c r="AI533" s="376"/>
      <c r="AJ533" s="376"/>
      <c r="AK533" s="378"/>
    </row>
    <row r="534" spans="1:37" s="557" customFormat="1" ht="30" customHeight="1" x14ac:dyDescent="0.25">
      <c r="A534" s="48"/>
      <c r="B534" s="93">
        <v>26</v>
      </c>
      <c r="C534" s="13" t="s">
        <v>57</v>
      </c>
      <c r="D534" s="12"/>
      <c r="E534" s="12"/>
      <c r="F534" s="12"/>
      <c r="G534" s="12"/>
      <c r="H534" s="13"/>
      <c r="I534" s="12"/>
      <c r="J534" s="12"/>
      <c r="K534" s="164"/>
      <c r="L534" s="164"/>
      <c r="M534" s="579"/>
      <c r="N534" s="13"/>
      <c r="O534" s="12"/>
      <c r="P534" s="12"/>
      <c r="Q534" s="357"/>
      <c r="R534" s="357"/>
      <c r="S534" s="357"/>
      <c r="T534" s="357"/>
      <c r="U534" s="357"/>
      <c r="V534" s="357"/>
      <c r="W534" s="357"/>
      <c r="X534" s="357"/>
      <c r="Y534" s="357"/>
      <c r="Z534" s="357"/>
      <c r="AA534" s="357"/>
      <c r="AB534" s="357"/>
      <c r="AC534" s="357"/>
      <c r="AD534" s="357"/>
      <c r="AE534" s="357"/>
      <c r="AF534" s="358"/>
      <c r="AG534" s="357"/>
      <c r="AH534" s="357"/>
      <c r="AI534" s="357"/>
      <c r="AJ534" s="357"/>
      <c r="AK534" s="362"/>
    </row>
    <row r="535" spans="1:37" s="557" customFormat="1" ht="30" customHeight="1" x14ac:dyDescent="0.25">
      <c r="A535" s="16"/>
      <c r="B535" s="48"/>
      <c r="C535" s="648"/>
      <c r="D535" s="642"/>
      <c r="E535" s="648"/>
      <c r="F535" s="648"/>
      <c r="G535" s="181">
        <v>83</v>
      </c>
      <c r="H535" s="52" t="s">
        <v>58</v>
      </c>
      <c r="I535" s="52"/>
      <c r="J535" s="52"/>
      <c r="K535" s="119"/>
      <c r="L535" s="119"/>
      <c r="M535" s="581"/>
      <c r="N535" s="136"/>
      <c r="O535" s="52"/>
      <c r="P535" s="52"/>
      <c r="Q535" s="231"/>
      <c r="R535" s="231"/>
      <c r="S535" s="231"/>
      <c r="T535" s="231"/>
      <c r="U535" s="231"/>
      <c r="V535" s="231"/>
      <c r="W535" s="231"/>
      <c r="X535" s="231"/>
      <c r="Y535" s="231"/>
      <c r="Z535" s="231"/>
      <c r="AA535" s="231"/>
      <c r="AB535" s="231"/>
      <c r="AC535" s="231"/>
      <c r="AD535" s="231"/>
      <c r="AE535" s="231"/>
      <c r="AF535" s="359"/>
      <c r="AG535" s="231"/>
      <c r="AH535" s="231"/>
      <c r="AI535" s="231"/>
      <c r="AJ535" s="231"/>
      <c r="AK535" s="233"/>
    </row>
    <row r="536" spans="1:37" ht="73.5" customHeight="1" x14ac:dyDescent="0.2">
      <c r="A536" s="16"/>
      <c r="B536" s="16"/>
      <c r="C536" s="638">
        <v>37</v>
      </c>
      <c r="D536" s="643" t="s">
        <v>634</v>
      </c>
      <c r="E536" s="651">
        <v>0.54610000000000003</v>
      </c>
      <c r="F536" s="647">
        <v>0.6</v>
      </c>
      <c r="G536" s="65"/>
      <c r="H536" s="673">
        <v>243</v>
      </c>
      <c r="I536" s="665" t="s">
        <v>635</v>
      </c>
      <c r="J536" s="18" t="s">
        <v>32</v>
      </c>
      <c r="K536" s="153">
        <v>6</v>
      </c>
      <c r="L536" s="20">
        <v>2017003630017</v>
      </c>
      <c r="M536" s="665" t="s">
        <v>419</v>
      </c>
      <c r="N536" s="673" t="s">
        <v>636</v>
      </c>
      <c r="O536" s="665" t="s">
        <v>637</v>
      </c>
      <c r="P536" s="673" t="s">
        <v>54</v>
      </c>
      <c r="Q536" s="346"/>
      <c r="R536" s="346"/>
      <c r="S536" s="346"/>
      <c r="T536" s="346"/>
      <c r="U536" s="346"/>
      <c r="V536" s="346"/>
      <c r="W536" s="346"/>
      <c r="X536" s="346"/>
      <c r="Y536" s="346"/>
      <c r="Z536" s="346"/>
      <c r="AA536" s="346"/>
      <c r="AB536" s="346"/>
      <c r="AC536" s="346"/>
      <c r="AD536" s="346"/>
      <c r="AE536" s="346"/>
      <c r="AF536" s="349">
        <v>72000000</v>
      </c>
      <c r="AG536" s="349"/>
      <c r="AH536" s="346"/>
      <c r="AI536" s="348"/>
      <c r="AJ536" s="348"/>
      <c r="AK536" s="346">
        <f>Q536+R536+S536+T536+U536+V536+W536+X536+Y536+Z536+AA536+AB536+AC536+AD536+AE536+AF536+AG536+AH536+AI536+AJ536</f>
        <v>72000000</v>
      </c>
    </row>
    <row r="537" spans="1:37" ht="30" customHeight="1" x14ac:dyDescent="0.2">
      <c r="A537" s="16"/>
      <c r="B537" s="29"/>
      <c r="C537" s="649"/>
      <c r="D537" s="644"/>
      <c r="E537" s="649"/>
      <c r="F537" s="649"/>
      <c r="G537" s="250"/>
      <c r="H537" s="129"/>
      <c r="I537" s="30"/>
      <c r="J537" s="32"/>
      <c r="K537" s="159"/>
      <c r="L537" s="159"/>
      <c r="M537" s="151"/>
      <c r="N537" s="31"/>
      <c r="O537" s="30"/>
      <c r="P537" s="31"/>
      <c r="Q537" s="355">
        <f t="shared" ref="Q537:AJ537" si="130">SUM(Q536:Q536)</f>
        <v>0</v>
      </c>
      <c r="R537" s="355">
        <f t="shared" si="130"/>
        <v>0</v>
      </c>
      <c r="S537" s="355">
        <f t="shared" si="130"/>
        <v>0</v>
      </c>
      <c r="T537" s="355">
        <f t="shared" si="130"/>
        <v>0</v>
      </c>
      <c r="U537" s="355">
        <f t="shared" si="130"/>
        <v>0</v>
      </c>
      <c r="V537" s="355">
        <f t="shared" si="130"/>
        <v>0</v>
      </c>
      <c r="W537" s="355">
        <f t="shared" si="130"/>
        <v>0</v>
      </c>
      <c r="X537" s="355">
        <f t="shared" si="130"/>
        <v>0</v>
      </c>
      <c r="Y537" s="355">
        <f t="shared" si="130"/>
        <v>0</v>
      </c>
      <c r="Z537" s="355">
        <f t="shared" si="130"/>
        <v>0</v>
      </c>
      <c r="AA537" s="355">
        <f t="shared" si="130"/>
        <v>0</v>
      </c>
      <c r="AB537" s="355">
        <f t="shared" si="130"/>
        <v>0</v>
      </c>
      <c r="AC537" s="355">
        <f t="shared" si="130"/>
        <v>0</v>
      </c>
      <c r="AD537" s="355">
        <f t="shared" si="130"/>
        <v>0</v>
      </c>
      <c r="AE537" s="355">
        <f t="shared" si="130"/>
        <v>0</v>
      </c>
      <c r="AF537" s="355">
        <f t="shared" si="130"/>
        <v>72000000</v>
      </c>
      <c r="AG537" s="355">
        <f t="shared" si="130"/>
        <v>0</v>
      </c>
      <c r="AH537" s="355">
        <f t="shared" si="130"/>
        <v>0</v>
      </c>
      <c r="AI537" s="355">
        <f t="shared" si="130"/>
        <v>0</v>
      </c>
      <c r="AJ537" s="355">
        <f t="shared" si="130"/>
        <v>0</v>
      </c>
      <c r="AK537" s="355">
        <f>SUM(AK536:AK536)</f>
        <v>72000000</v>
      </c>
    </row>
    <row r="538" spans="1:37" ht="30" customHeight="1" x14ac:dyDescent="0.2">
      <c r="A538" s="29"/>
      <c r="B538" s="68"/>
      <c r="C538" s="35"/>
      <c r="D538" s="34"/>
      <c r="E538" s="35"/>
      <c r="F538" s="35"/>
      <c r="G538" s="34"/>
      <c r="H538" s="35"/>
      <c r="I538" s="34"/>
      <c r="J538" s="36"/>
      <c r="K538" s="163"/>
      <c r="L538" s="163"/>
      <c r="M538" s="303"/>
      <c r="N538" s="35"/>
      <c r="O538" s="34"/>
      <c r="P538" s="35"/>
      <c r="Q538" s="361">
        <f t="shared" ref="Q538:AK540" si="131">Q537</f>
        <v>0</v>
      </c>
      <c r="R538" s="361">
        <f t="shared" si="131"/>
        <v>0</v>
      </c>
      <c r="S538" s="361">
        <f t="shared" si="131"/>
        <v>0</v>
      </c>
      <c r="T538" s="361">
        <f t="shared" si="131"/>
        <v>0</v>
      </c>
      <c r="U538" s="361">
        <f t="shared" si="131"/>
        <v>0</v>
      </c>
      <c r="V538" s="361">
        <f t="shared" si="131"/>
        <v>0</v>
      </c>
      <c r="W538" s="361">
        <f t="shared" si="131"/>
        <v>0</v>
      </c>
      <c r="X538" s="361">
        <f t="shared" si="131"/>
        <v>0</v>
      </c>
      <c r="Y538" s="361">
        <f t="shared" si="131"/>
        <v>0</v>
      </c>
      <c r="Z538" s="361">
        <f t="shared" si="131"/>
        <v>0</v>
      </c>
      <c r="AA538" s="361">
        <f t="shared" si="131"/>
        <v>0</v>
      </c>
      <c r="AB538" s="361">
        <f t="shared" si="131"/>
        <v>0</v>
      </c>
      <c r="AC538" s="361">
        <f t="shared" si="131"/>
        <v>0</v>
      </c>
      <c r="AD538" s="361">
        <f t="shared" si="131"/>
        <v>0</v>
      </c>
      <c r="AE538" s="361">
        <f t="shared" si="131"/>
        <v>0</v>
      </c>
      <c r="AF538" s="361">
        <f t="shared" si="131"/>
        <v>72000000</v>
      </c>
      <c r="AG538" s="361">
        <f t="shared" si="131"/>
        <v>0</v>
      </c>
      <c r="AH538" s="361">
        <f t="shared" si="131"/>
        <v>0</v>
      </c>
      <c r="AI538" s="361">
        <f t="shared" si="131"/>
        <v>0</v>
      </c>
      <c r="AJ538" s="361">
        <f t="shared" si="131"/>
        <v>0</v>
      </c>
      <c r="AK538" s="361">
        <f t="shared" si="131"/>
        <v>72000000</v>
      </c>
    </row>
    <row r="539" spans="1:37" ht="30" customHeight="1" x14ac:dyDescent="0.2">
      <c r="A539" s="37"/>
      <c r="B539" s="37"/>
      <c r="C539" s="38"/>
      <c r="D539" s="37"/>
      <c r="E539" s="38"/>
      <c r="F539" s="38"/>
      <c r="G539" s="37"/>
      <c r="H539" s="38"/>
      <c r="I539" s="37"/>
      <c r="J539" s="39"/>
      <c r="K539" s="286"/>
      <c r="L539" s="286"/>
      <c r="M539" s="311"/>
      <c r="N539" s="38"/>
      <c r="O539" s="37"/>
      <c r="P539" s="38"/>
      <c r="Q539" s="367">
        <f t="shared" si="131"/>
        <v>0</v>
      </c>
      <c r="R539" s="367">
        <f t="shared" si="131"/>
        <v>0</v>
      </c>
      <c r="S539" s="367">
        <f t="shared" si="131"/>
        <v>0</v>
      </c>
      <c r="T539" s="367">
        <f t="shared" si="131"/>
        <v>0</v>
      </c>
      <c r="U539" s="367">
        <f t="shared" si="131"/>
        <v>0</v>
      </c>
      <c r="V539" s="367">
        <f t="shared" si="131"/>
        <v>0</v>
      </c>
      <c r="W539" s="367">
        <f t="shared" si="131"/>
        <v>0</v>
      </c>
      <c r="X539" s="367">
        <f t="shared" si="131"/>
        <v>0</v>
      </c>
      <c r="Y539" s="367">
        <f t="shared" si="131"/>
        <v>0</v>
      </c>
      <c r="Z539" s="367">
        <f t="shared" si="131"/>
        <v>0</v>
      </c>
      <c r="AA539" s="367">
        <f t="shared" si="131"/>
        <v>0</v>
      </c>
      <c r="AB539" s="367">
        <f t="shared" si="131"/>
        <v>0</v>
      </c>
      <c r="AC539" s="367">
        <f t="shared" si="131"/>
        <v>0</v>
      </c>
      <c r="AD539" s="367">
        <f t="shared" si="131"/>
        <v>0</v>
      </c>
      <c r="AE539" s="367">
        <f t="shared" si="131"/>
        <v>0</v>
      </c>
      <c r="AF539" s="367">
        <f t="shared" si="131"/>
        <v>72000000</v>
      </c>
      <c r="AG539" s="367">
        <f t="shared" si="131"/>
        <v>0</v>
      </c>
      <c r="AH539" s="367">
        <f t="shared" si="131"/>
        <v>0</v>
      </c>
      <c r="AI539" s="367">
        <f t="shared" si="131"/>
        <v>0</v>
      </c>
      <c r="AJ539" s="367">
        <f t="shared" si="131"/>
        <v>0</v>
      </c>
      <c r="AK539" s="367">
        <f t="shared" si="131"/>
        <v>72000000</v>
      </c>
    </row>
    <row r="540" spans="1:37" ht="30" customHeight="1" x14ac:dyDescent="0.2">
      <c r="A540" s="40"/>
      <c r="B540" s="40"/>
      <c r="C540" s="41"/>
      <c r="D540" s="40"/>
      <c r="E540" s="41"/>
      <c r="F540" s="41"/>
      <c r="G540" s="40"/>
      <c r="H540" s="41"/>
      <c r="I540" s="40"/>
      <c r="J540" s="42"/>
      <c r="K540" s="271"/>
      <c r="L540" s="271"/>
      <c r="M540" s="285"/>
      <c r="N540" s="41"/>
      <c r="O540" s="40"/>
      <c r="P540" s="41"/>
      <c r="Q540" s="368">
        <f t="shared" si="131"/>
        <v>0</v>
      </c>
      <c r="R540" s="368">
        <f t="shared" si="131"/>
        <v>0</v>
      </c>
      <c r="S540" s="368">
        <f t="shared" si="131"/>
        <v>0</v>
      </c>
      <c r="T540" s="368">
        <f t="shared" si="131"/>
        <v>0</v>
      </c>
      <c r="U540" s="368">
        <f t="shared" si="131"/>
        <v>0</v>
      </c>
      <c r="V540" s="368">
        <f t="shared" si="131"/>
        <v>0</v>
      </c>
      <c r="W540" s="368">
        <f t="shared" si="131"/>
        <v>0</v>
      </c>
      <c r="X540" s="368">
        <f t="shared" si="131"/>
        <v>0</v>
      </c>
      <c r="Y540" s="368">
        <f t="shared" si="131"/>
        <v>0</v>
      </c>
      <c r="Z540" s="368">
        <f t="shared" si="131"/>
        <v>0</v>
      </c>
      <c r="AA540" s="368">
        <f t="shared" si="131"/>
        <v>0</v>
      </c>
      <c r="AB540" s="368">
        <f t="shared" si="131"/>
        <v>0</v>
      </c>
      <c r="AC540" s="368">
        <f t="shared" si="131"/>
        <v>0</v>
      </c>
      <c r="AD540" s="368">
        <f t="shared" si="131"/>
        <v>0</v>
      </c>
      <c r="AE540" s="368">
        <f t="shared" si="131"/>
        <v>0</v>
      </c>
      <c r="AF540" s="368">
        <f t="shared" si="131"/>
        <v>72000000</v>
      </c>
      <c r="AG540" s="368">
        <f t="shared" si="131"/>
        <v>0</v>
      </c>
      <c r="AH540" s="368">
        <f t="shared" si="131"/>
        <v>0</v>
      </c>
      <c r="AI540" s="368">
        <f t="shared" si="131"/>
        <v>0</v>
      </c>
      <c r="AJ540" s="368">
        <f t="shared" si="131"/>
        <v>0</v>
      </c>
      <c r="AK540" s="368">
        <f t="shared" si="131"/>
        <v>72000000</v>
      </c>
    </row>
    <row r="541" spans="1:37" ht="30" customHeight="1" x14ac:dyDescent="0.2">
      <c r="A541" s="43"/>
      <c r="B541" s="44"/>
      <c r="C541" s="116"/>
      <c r="D541" s="44"/>
      <c r="E541" s="116"/>
      <c r="F541" s="116"/>
      <c r="G541" s="44"/>
      <c r="H541" s="116"/>
      <c r="I541" s="44"/>
      <c r="J541" s="45"/>
      <c r="K541" s="160"/>
      <c r="L541" s="160"/>
      <c r="M541" s="62"/>
      <c r="N541" s="116"/>
      <c r="O541" s="44"/>
      <c r="P541" s="116"/>
      <c r="Q541" s="350"/>
      <c r="R541" s="351"/>
      <c r="S541" s="350"/>
      <c r="T541" s="350"/>
      <c r="U541" s="350"/>
      <c r="V541" s="350"/>
      <c r="W541" s="350"/>
      <c r="X541" s="350"/>
      <c r="Y541" s="350"/>
      <c r="Z541" s="350"/>
      <c r="AA541" s="350"/>
      <c r="AB541" s="351"/>
      <c r="AC541" s="351"/>
      <c r="AD541" s="350"/>
      <c r="AE541" s="350"/>
      <c r="AF541" s="352"/>
      <c r="AG541" s="353"/>
      <c r="AH541" s="350"/>
      <c r="AI541" s="350"/>
      <c r="AJ541" s="350"/>
      <c r="AK541" s="354" t="s">
        <v>56</v>
      </c>
    </row>
    <row r="542" spans="1:37" ht="30" customHeight="1" x14ac:dyDescent="0.2">
      <c r="A542" s="4" t="s">
        <v>638</v>
      </c>
      <c r="B542" s="5"/>
      <c r="C542" s="6"/>
      <c r="D542" s="5"/>
      <c r="E542" s="5"/>
      <c r="F542" s="5"/>
      <c r="G542" s="5"/>
      <c r="H542" s="6"/>
      <c r="I542" s="5"/>
      <c r="J542" s="5"/>
      <c r="K542" s="179"/>
      <c r="L542" s="179"/>
      <c r="M542" s="577"/>
      <c r="N542" s="6"/>
      <c r="O542" s="5"/>
      <c r="P542" s="6"/>
      <c r="Q542" s="413"/>
      <c r="R542" s="413"/>
      <c r="S542" s="413"/>
      <c r="T542" s="413"/>
      <c r="U542" s="413"/>
      <c r="V542" s="413"/>
      <c r="W542" s="413"/>
      <c r="X542" s="413"/>
      <c r="Y542" s="413"/>
      <c r="Z542" s="413"/>
      <c r="AA542" s="413"/>
      <c r="AB542" s="413"/>
      <c r="AC542" s="413"/>
      <c r="AD542" s="413"/>
      <c r="AE542" s="413"/>
      <c r="AF542" s="414"/>
      <c r="AG542" s="415"/>
      <c r="AH542" s="413"/>
      <c r="AI542" s="413"/>
      <c r="AJ542" s="413"/>
      <c r="AK542" s="416" t="s">
        <v>56</v>
      </c>
    </row>
    <row r="543" spans="1:37" ht="30" customHeight="1" x14ac:dyDescent="0.2">
      <c r="A543" s="679">
        <v>3</v>
      </c>
      <c r="B543" s="7" t="s">
        <v>404</v>
      </c>
      <c r="C543" s="8"/>
      <c r="D543" s="7"/>
      <c r="E543" s="7"/>
      <c r="F543" s="7"/>
      <c r="G543" s="7"/>
      <c r="H543" s="8"/>
      <c r="I543" s="7"/>
      <c r="J543" s="7"/>
      <c r="K543" s="180"/>
      <c r="L543" s="180"/>
      <c r="M543" s="578"/>
      <c r="N543" s="8"/>
      <c r="O543" s="7"/>
      <c r="P543" s="7"/>
      <c r="Q543" s="376"/>
      <c r="R543" s="376"/>
      <c r="S543" s="376"/>
      <c r="T543" s="376"/>
      <c r="U543" s="376"/>
      <c r="V543" s="376"/>
      <c r="W543" s="376"/>
      <c r="X543" s="376"/>
      <c r="Y543" s="376"/>
      <c r="Z543" s="376"/>
      <c r="AA543" s="376"/>
      <c r="AB543" s="376"/>
      <c r="AC543" s="376"/>
      <c r="AD543" s="376"/>
      <c r="AE543" s="376"/>
      <c r="AF543" s="377"/>
      <c r="AG543" s="376"/>
      <c r="AH543" s="376"/>
      <c r="AI543" s="376"/>
      <c r="AJ543" s="376"/>
      <c r="AK543" s="378"/>
    </row>
    <row r="544" spans="1:37" ht="30" customHeight="1" x14ac:dyDescent="0.2">
      <c r="A544" s="48"/>
      <c r="B544" s="93">
        <v>11</v>
      </c>
      <c r="C544" s="11" t="s">
        <v>405</v>
      </c>
      <c r="D544" s="12"/>
      <c r="E544" s="12"/>
      <c r="F544" s="12"/>
      <c r="G544" s="12"/>
      <c r="H544" s="13"/>
      <c r="I544" s="12"/>
      <c r="J544" s="12"/>
      <c r="K544" s="164"/>
      <c r="L544" s="164"/>
      <c r="M544" s="579"/>
      <c r="N544" s="13"/>
      <c r="O544" s="12"/>
      <c r="P544" s="12"/>
      <c r="Q544" s="357"/>
      <c r="R544" s="357"/>
      <c r="S544" s="357"/>
      <c r="T544" s="357"/>
      <c r="U544" s="357"/>
      <c r="V544" s="357"/>
      <c r="W544" s="357"/>
      <c r="X544" s="357"/>
      <c r="Y544" s="357"/>
      <c r="Z544" s="357"/>
      <c r="AA544" s="357"/>
      <c r="AB544" s="357"/>
      <c r="AC544" s="357"/>
      <c r="AD544" s="357"/>
      <c r="AE544" s="357"/>
      <c r="AF544" s="358"/>
      <c r="AG544" s="357"/>
      <c r="AH544" s="357"/>
      <c r="AI544" s="357"/>
      <c r="AJ544" s="357"/>
      <c r="AK544" s="362"/>
    </row>
    <row r="545" spans="1:37" ht="30" customHeight="1" x14ac:dyDescent="0.2">
      <c r="A545" s="16"/>
      <c r="B545" s="48"/>
      <c r="C545" s="648"/>
      <c r="D545" s="642"/>
      <c r="E545" s="648"/>
      <c r="F545" s="648"/>
      <c r="G545" s="181">
        <v>35</v>
      </c>
      <c r="H545" s="51" t="s">
        <v>639</v>
      </c>
      <c r="I545" s="51"/>
      <c r="J545" s="51"/>
      <c r="K545" s="277"/>
      <c r="L545" s="277"/>
      <c r="M545" s="581"/>
      <c r="N545" s="136"/>
      <c r="O545" s="51"/>
      <c r="P545" s="51"/>
      <c r="Q545" s="231"/>
      <c r="R545" s="231"/>
      <c r="S545" s="231"/>
      <c r="T545" s="231"/>
      <c r="U545" s="231"/>
      <c r="V545" s="231"/>
      <c r="W545" s="231"/>
      <c r="X545" s="231"/>
      <c r="Y545" s="231"/>
      <c r="Z545" s="231"/>
      <c r="AA545" s="231"/>
      <c r="AB545" s="231"/>
      <c r="AC545" s="231"/>
      <c r="AD545" s="231"/>
      <c r="AE545" s="231"/>
      <c r="AF545" s="359"/>
      <c r="AG545" s="231"/>
      <c r="AH545" s="231"/>
      <c r="AI545" s="231"/>
      <c r="AJ545" s="231"/>
      <c r="AK545" s="233"/>
    </row>
    <row r="546" spans="1:37" ht="87" customHeight="1" x14ac:dyDescent="0.2">
      <c r="A546" s="16"/>
      <c r="B546" s="167"/>
      <c r="C546" s="331"/>
      <c r="D546" s="332"/>
      <c r="E546" s="332"/>
      <c r="F546" s="332"/>
      <c r="G546" s="128"/>
      <c r="H546" s="663">
        <v>127</v>
      </c>
      <c r="I546" s="665" t="s">
        <v>640</v>
      </c>
      <c r="J546" s="673" t="s">
        <v>32</v>
      </c>
      <c r="K546" s="132">
        <v>1</v>
      </c>
      <c r="L546" s="743">
        <v>2017003630103</v>
      </c>
      <c r="M546" s="734" t="s">
        <v>641</v>
      </c>
      <c r="N546" s="731" t="s">
        <v>642</v>
      </c>
      <c r="O546" s="734" t="s">
        <v>911</v>
      </c>
      <c r="P546" s="673" t="s">
        <v>41</v>
      </c>
      <c r="Q546" s="346">
        <v>0</v>
      </c>
      <c r="R546" s="346">
        <v>0</v>
      </c>
      <c r="S546" s="346">
        <v>0</v>
      </c>
      <c r="T546" s="346">
        <v>0</v>
      </c>
      <c r="U546" s="346">
        <v>0</v>
      </c>
      <c r="V546" s="346">
        <v>0</v>
      </c>
      <c r="W546" s="346">
        <v>0</v>
      </c>
      <c r="X546" s="347">
        <f>65000000+27282000</f>
        <v>92282000</v>
      </c>
      <c r="Y546" s="347"/>
      <c r="Z546" s="346"/>
      <c r="AA546" s="346">
        <v>0</v>
      </c>
      <c r="AB546" s="346"/>
      <c r="AC546" s="346"/>
      <c r="AD546" s="346">
        <v>0</v>
      </c>
      <c r="AE546" s="346">
        <v>0</v>
      </c>
      <c r="AF546" s="347">
        <v>0</v>
      </c>
      <c r="AG546" s="360"/>
      <c r="AH546" s="346">
        <v>0</v>
      </c>
      <c r="AI546" s="348"/>
      <c r="AJ546" s="348"/>
      <c r="AK546" s="346">
        <f>Q546+R546+S546+T546+U546+V546+W546+X546+Y546+Z546+AA546+AB546+AC546+AD546+AE546+AF546+AG546+AH546+AI546+AJ546</f>
        <v>92282000</v>
      </c>
    </row>
    <row r="547" spans="1:37" ht="60" customHeight="1" x14ac:dyDescent="0.2">
      <c r="A547" s="16"/>
      <c r="B547" s="167"/>
      <c r="C547" s="638">
        <v>24</v>
      </c>
      <c r="D547" s="643" t="s">
        <v>643</v>
      </c>
      <c r="E547" s="638" t="s">
        <v>644</v>
      </c>
      <c r="F547" s="638" t="s">
        <v>644</v>
      </c>
      <c r="G547" s="25"/>
      <c r="H547" s="663">
        <v>128</v>
      </c>
      <c r="I547" s="665" t="s">
        <v>645</v>
      </c>
      <c r="J547" s="673">
        <v>1</v>
      </c>
      <c r="K547" s="132">
        <v>1</v>
      </c>
      <c r="L547" s="744"/>
      <c r="M547" s="735"/>
      <c r="N547" s="732"/>
      <c r="O547" s="735"/>
      <c r="P547" s="673" t="s">
        <v>41</v>
      </c>
      <c r="Q547" s="346">
        <v>0</v>
      </c>
      <c r="R547" s="346">
        <v>0</v>
      </c>
      <c r="S547" s="346">
        <v>0</v>
      </c>
      <c r="T547" s="346">
        <v>0</v>
      </c>
      <c r="U547" s="346">
        <v>0</v>
      </c>
      <c r="V547" s="346">
        <v>0</v>
      </c>
      <c r="W547" s="346">
        <v>0</v>
      </c>
      <c r="X547" s="347">
        <v>26000000</v>
      </c>
      <c r="Y547" s="347"/>
      <c r="Z547" s="346">
        <v>11000000</v>
      </c>
      <c r="AA547" s="346">
        <v>0</v>
      </c>
      <c r="AB547" s="346"/>
      <c r="AC547" s="346"/>
      <c r="AD547" s="346">
        <v>0</v>
      </c>
      <c r="AE547" s="346">
        <v>0</v>
      </c>
      <c r="AF547" s="347">
        <v>0</v>
      </c>
      <c r="AG547" s="360"/>
      <c r="AH547" s="346">
        <v>0</v>
      </c>
      <c r="AI547" s="348"/>
      <c r="AJ547" s="348"/>
      <c r="AK547" s="346">
        <f>Q547+R547+S547+T547+U547+V547+W547+X547+Y547+Z547+AA547+AB547+AC547+AD547+AE547+AF547+AG547+AH547+AI547+AJ547</f>
        <v>37000000</v>
      </c>
    </row>
    <row r="548" spans="1:37" ht="60" customHeight="1" x14ac:dyDescent="0.2">
      <c r="A548" s="16"/>
      <c r="B548" s="167"/>
      <c r="C548" s="638"/>
      <c r="D548" s="643"/>
      <c r="E548" s="638"/>
      <c r="F548" s="638"/>
      <c r="G548" s="27"/>
      <c r="H548" s="663">
        <v>129</v>
      </c>
      <c r="I548" s="665" t="s">
        <v>646</v>
      </c>
      <c r="J548" s="673" t="s">
        <v>32</v>
      </c>
      <c r="K548" s="132">
        <v>6</v>
      </c>
      <c r="L548" s="745"/>
      <c r="M548" s="736"/>
      <c r="N548" s="733"/>
      <c r="O548" s="736"/>
      <c r="P548" s="673" t="s">
        <v>41</v>
      </c>
      <c r="Q548" s="346">
        <v>0</v>
      </c>
      <c r="R548" s="346">
        <v>0</v>
      </c>
      <c r="S548" s="346">
        <v>0</v>
      </c>
      <c r="T548" s="346">
        <v>0</v>
      </c>
      <c r="U548" s="346">
        <v>0</v>
      </c>
      <c r="V548" s="346">
        <v>0</v>
      </c>
      <c r="W548" s="346">
        <v>0</v>
      </c>
      <c r="X548" s="347">
        <v>39000000</v>
      </c>
      <c r="Y548" s="347"/>
      <c r="Z548" s="346">
        <v>14000000</v>
      </c>
      <c r="AA548" s="346">
        <v>0</v>
      </c>
      <c r="AB548" s="346"/>
      <c r="AC548" s="346"/>
      <c r="AD548" s="346">
        <v>0</v>
      </c>
      <c r="AE548" s="346">
        <v>0</v>
      </c>
      <c r="AF548" s="347">
        <v>0</v>
      </c>
      <c r="AG548" s="360"/>
      <c r="AH548" s="346">
        <v>0</v>
      </c>
      <c r="AI548" s="348"/>
      <c r="AJ548" s="348"/>
      <c r="AK548" s="346">
        <f>Q548+R548+S548+T548+U548+V548+W548+X548+Y548+Z548+AA548+AB548+AC548+AD548+AE548+AF548+AG548+AH548+AI548+AJ548</f>
        <v>53000000</v>
      </c>
    </row>
    <row r="549" spans="1:37" ht="30" customHeight="1" x14ac:dyDescent="0.2">
      <c r="A549" s="16"/>
      <c r="B549" s="29"/>
      <c r="C549" s="649"/>
      <c r="D549" s="644"/>
      <c r="E549" s="649"/>
      <c r="F549" s="649"/>
      <c r="G549" s="30"/>
      <c r="H549" s="31"/>
      <c r="I549" s="30"/>
      <c r="J549" s="31"/>
      <c r="K549" s="154"/>
      <c r="L549" s="154"/>
      <c r="M549" s="30"/>
      <c r="N549" s="31"/>
      <c r="O549" s="30"/>
      <c r="P549" s="31"/>
      <c r="Q549" s="355">
        <f t="shared" ref="Q549:AK549" si="132">SUM(Q546:Q548)</f>
        <v>0</v>
      </c>
      <c r="R549" s="355">
        <f t="shared" si="132"/>
        <v>0</v>
      </c>
      <c r="S549" s="355">
        <f t="shared" si="132"/>
        <v>0</v>
      </c>
      <c r="T549" s="355">
        <f t="shared" si="132"/>
        <v>0</v>
      </c>
      <c r="U549" s="355">
        <f t="shared" si="132"/>
        <v>0</v>
      </c>
      <c r="V549" s="355">
        <f t="shared" si="132"/>
        <v>0</v>
      </c>
      <c r="W549" s="355">
        <f t="shared" si="132"/>
        <v>0</v>
      </c>
      <c r="X549" s="355">
        <f t="shared" si="132"/>
        <v>157282000</v>
      </c>
      <c r="Y549" s="355">
        <f t="shared" si="132"/>
        <v>0</v>
      </c>
      <c r="Z549" s="355">
        <f t="shared" si="132"/>
        <v>25000000</v>
      </c>
      <c r="AA549" s="355">
        <f t="shared" si="132"/>
        <v>0</v>
      </c>
      <c r="AB549" s="355">
        <f t="shared" si="132"/>
        <v>0</v>
      </c>
      <c r="AC549" s="355">
        <f t="shared" si="132"/>
        <v>0</v>
      </c>
      <c r="AD549" s="355">
        <f t="shared" si="132"/>
        <v>0</v>
      </c>
      <c r="AE549" s="355">
        <f t="shared" si="132"/>
        <v>0</v>
      </c>
      <c r="AF549" s="355">
        <f t="shared" si="132"/>
        <v>0</v>
      </c>
      <c r="AG549" s="355">
        <f t="shared" si="132"/>
        <v>0</v>
      </c>
      <c r="AH549" s="355">
        <f t="shared" si="132"/>
        <v>0</v>
      </c>
      <c r="AI549" s="355">
        <f t="shared" si="132"/>
        <v>0</v>
      </c>
      <c r="AJ549" s="355">
        <f t="shared" si="132"/>
        <v>0</v>
      </c>
      <c r="AK549" s="355">
        <f t="shared" si="132"/>
        <v>182282000</v>
      </c>
    </row>
    <row r="550" spans="1:37" ht="30" customHeight="1" x14ac:dyDescent="0.2">
      <c r="A550" s="16"/>
      <c r="B550" s="68"/>
      <c r="C550" s="35"/>
      <c r="D550" s="34"/>
      <c r="E550" s="35"/>
      <c r="F550" s="35"/>
      <c r="G550" s="34"/>
      <c r="H550" s="35"/>
      <c r="I550" s="34"/>
      <c r="J550" s="35"/>
      <c r="K550" s="170"/>
      <c r="L550" s="170"/>
      <c r="M550" s="34"/>
      <c r="N550" s="35"/>
      <c r="O550" s="34"/>
      <c r="P550" s="35"/>
      <c r="Q550" s="361">
        <f t="shared" ref="Q550:AK550" si="133">Q549</f>
        <v>0</v>
      </c>
      <c r="R550" s="361">
        <f t="shared" si="133"/>
        <v>0</v>
      </c>
      <c r="S550" s="361">
        <f t="shared" si="133"/>
        <v>0</v>
      </c>
      <c r="T550" s="361">
        <f t="shared" si="133"/>
        <v>0</v>
      </c>
      <c r="U550" s="361">
        <f t="shared" si="133"/>
        <v>0</v>
      </c>
      <c r="V550" s="361">
        <f t="shared" si="133"/>
        <v>0</v>
      </c>
      <c r="W550" s="361">
        <f t="shared" si="133"/>
        <v>0</v>
      </c>
      <c r="X550" s="361">
        <f t="shared" si="133"/>
        <v>157282000</v>
      </c>
      <c r="Y550" s="361">
        <f t="shared" si="133"/>
        <v>0</v>
      </c>
      <c r="Z550" s="361">
        <f t="shared" si="133"/>
        <v>25000000</v>
      </c>
      <c r="AA550" s="361">
        <f t="shared" si="133"/>
        <v>0</v>
      </c>
      <c r="AB550" s="361">
        <f t="shared" si="133"/>
        <v>0</v>
      </c>
      <c r="AC550" s="361">
        <f t="shared" si="133"/>
        <v>0</v>
      </c>
      <c r="AD550" s="361">
        <f t="shared" si="133"/>
        <v>0</v>
      </c>
      <c r="AE550" s="361">
        <f t="shared" si="133"/>
        <v>0</v>
      </c>
      <c r="AF550" s="361">
        <f t="shared" si="133"/>
        <v>0</v>
      </c>
      <c r="AG550" s="361">
        <f t="shared" si="133"/>
        <v>0</v>
      </c>
      <c r="AH550" s="361">
        <f t="shared" si="133"/>
        <v>0</v>
      </c>
      <c r="AI550" s="361">
        <f t="shared" si="133"/>
        <v>0</v>
      </c>
      <c r="AJ550" s="361">
        <f t="shared" si="133"/>
        <v>0</v>
      </c>
      <c r="AK550" s="361">
        <f t="shared" si="133"/>
        <v>182282000</v>
      </c>
    </row>
    <row r="551" spans="1:37" ht="30" customHeight="1" x14ac:dyDescent="0.2">
      <c r="A551" s="16"/>
      <c r="B551" s="44"/>
      <c r="C551" s="116"/>
      <c r="D551" s="44"/>
      <c r="E551" s="116"/>
      <c r="F551" s="116"/>
      <c r="G551" s="44"/>
      <c r="H551" s="116"/>
      <c r="I551" s="44"/>
      <c r="J551" s="116"/>
      <c r="K551" s="158"/>
      <c r="L551" s="230"/>
      <c r="M551" s="74"/>
      <c r="N551" s="345"/>
      <c r="O551" s="74"/>
      <c r="P551" s="116"/>
      <c r="Q551" s="350"/>
      <c r="R551" s="350"/>
      <c r="S551" s="350"/>
      <c r="T551" s="350"/>
      <c r="U551" s="350"/>
      <c r="V551" s="350"/>
      <c r="W551" s="350"/>
      <c r="X551" s="350"/>
      <c r="Y551" s="350"/>
      <c r="Z551" s="350"/>
      <c r="AA551" s="350"/>
      <c r="AB551" s="350"/>
      <c r="AC551" s="350"/>
      <c r="AD551" s="350"/>
      <c r="AE551" s="350"/>
      <c r="AF551" s="352"/>
      <c r="AG551" s="350"/>
      <c r="AH551" s="350"/>
      <c r="AI551" s="350"/>
      <c r="AJ551" s="350"/>
      <c r="AK551" s="354"/>
    </row>
    <row r="552" spans="1:37" ht="30" customHeight="1" x14ac:dyDescent="0.2">
      <c r="A552" s="16"/>
      <c r="B552" s="287">
        <v>12</v>
      </c>
      <c r="C552" s="11" t="s">
        <v>647</v>
      </c>
      <c r="D552" s="12"/>
      <c r="E552" s="12"/>
      <c r="F552" s="12"/>
      <c r="G552" s="12"/>
      <c r="H552" s="13"/>
      <c r="I552" s="12"/>
      <c r="J552" s="12"/>
      <c r="K552" s="164"/>
      <c r="L552" s="164"/>
      <c r="M552" s="579"/>
      <c r="N552" s="13"/>
      <c r="O552" s="12"/>
      <c r="P552" s="12"/>
      <c r="Q552" s="357"/>
      <c r="R552" s="357"/>
      <c r="S552" s="357"/>
      <c r="T552" s="357"/>
      <c r="U552" s="357"/>
      <c r="V552" s="357"/>
      <c r="W552" s="357"/>
      <c r="X552" s="357"/>
      <c r="Y552" s="357"/>
      <c r="Z552" s="357"/>
      <c r="AA552" s="357"/>
      <c r="AB552" s="357"/>
      <c r="AC552" s="357"/>
      <c r="AD552" s="357"/>
      <c r="AE552" s="357"/>
      <c r="AF552" s="358"/>
      <c r="AG552" s="357"/>
      <c r="AH552" s="357"/>
      <c r="AI552" s="357"/>
      <c r="AJ552" s="357"/>
      <c r="AK552" s="362"/>
    </row>
    <row r="553" spans="1:37" ht="30" customHeight="1" x14ac:dyDescent="0.2">
      <c r="A553" s="167"/>
      <c r="B553" s="16"/>
      <c r="C553" s="648"/>
      <c r="D553" s="642"/>
      <c r="E553" s="648"/>
      <c r="F553" s="648"/>
      <c r="G553" s="181">
        <v>36</v>
      </c>
      <c r="H553" s="52" t="s">
        <v>648</v>
      </c>
      <c r="I553" s="52"/>
      <c r="J553" s="52"/>
      <c r="K553" s="119"/>
      <c r="L553" s="119"/>
      <c r="M553" s="581"/>
      <c r="N553" s="136"/>
      <c r="O553" s="52"/>
      <c r="P553" s="52"/>
      <c r="Q553" s="231"/>
      <c r="R553" s="231"/>
      <c r="S553" s="231"/>
      <c r="T553" s="231"/>
      <c r="U553" s="231"/>
      <c r="V553" s="231"/>
      <c r="W553" s="231"/>
      <c r="X553" s="231"/>
      <c r="Y553" s="231"/>
      <c r="Z553" s="231"/>
      <c r="AA553" s="231"/>
      <c r="AB553" s="231"/>
      <c r="AC553" s="231"/>
      <c r="AD553" s="231"/>
      <c r="AE553" s="231"/>
      <c r="AF553" s="359"/>
      <c r="AG553" s="231"/>
      <c r="AH553" s="231"/>
      <c r="AI553" s="231"/>
      <c r="AJ553" s="231"/>
      <c r="AK553" s="233"/>
    </row>
    <row r="554" spans="1:37" ht="65.25" customHeight="1" x14ac:dyDescent="0.2">
      <c r="A554" s="167"/>
      <c r="B554" s="16"/>
      <c r="C554" s="732">
        <v>3</v>
      </c>
      <c r="D554" s="735" t="s">
        <v>341</v>
      </c>
      <c r="E554" s="732" t="s">
        <v>137</v>
      </c>
      <c r="F554" s="732" t="s">
        <v>138</v>
      </c>
      <c r="G554" s="731"/>
      <c r="H554" s="673">
        <v>130</v>
      </c>
      <c r="I554" s="665" t="s">
        <v>649</v>
      </c>
      <c r="J554" s="673">
        <v>0</v>
      </c>
      <c r="K554" s="132">
        <v>1</v>
      </c>
      <c r="L554" s="743">
        <v>2017003630082</v>
      </c>
      <c r="M554" s="734" t="s">
        <v>641</v>
      </c>
      <c r="N554" s="731" t="s">
        <v>650</v>
      </c>
      <c r="O554" s="734" t="s">
        <v>651</v>
      </c>
      <c r="P554" s="673" t="s">
        <v>41</v>
      </c>
      <c r="Q554" s="346">
        <v>0</v>
      </c>
      <c r="R554" s="346">
        <v>0</v>
      </c>
      <c r="S554" s="346">
        <v>0</v>
      </c>
      <c r="T554" s="346">
        <v>0</v>
      </c>
      <c r="U554" s="346">
        <v>0</v>
      </c>
      <c r="V554" s="346">
        <v>0</v>
      </c>
      <c r="W554" s="346">
        <v>0</v>
      </c>
      <c r="X554" s="397">
        <v>68000000</v>
      </c>
      <c r="Y554" s="347"/>
      <c r="Z554" s="346">
        <v>25000000</v>
      </c>
      <c r="AA554" s="346">
        <v>0</v>
      </c>
      <c r="AB554" s="346"/>
      <c r="AC554" s="346"/>
      <c r="AD554" s="346">
        <v>0</v>
      </c>
      <c r="AE554" s="346">
        <v>0</v>
      </c>
      <c r="AF554" s="347">
        <v>0</v>
      </c>
      <c r="AG554" s="360"/>
      <c r="AH554" s="346">
        <v>0</v>
      </c>
      <c r="AI554" s="348"/>
      <c r="AJ554" s="348"/>
      <c r="AK554" s="346">
        <f>Q554+R554+S554+T554+U554+V554+W554+X554+Y554+Z554+AA554+AB554+AC554+AD554+AE554+AF554+AG554+AH554+AI554+AJ554</f>
        <v>93000000</v>
      </c>
    </row>
    <row r="555" spans="1:37" ht="65.25" customHeight="1" x14ac:dyDescent="0.2">
      <c r="A555" s="167"/>
      <c r="B555" s="16"/>
      <c r="C555" s="732"/>
      <c r="D555" s="735"/>
      <c r="E555" s="732"/>
      <c r="F555" s="732"/>
      <c r="G555" s="733"/>
      <c r="H555" s="673">
        <v>131</v>
      </c>
      <c r="I555" s="665" t="s">
        <v>652</v>
      </c>
      <c r="J555" s="673">
        <v>0</v>
      </c>
      <c r="K555" s="132">
        <v>5</v>
      </c>
      <c r="L555" s="745"/>
      <c r="M555" s="736"/>
      <c r="N555" s="733"/>
      <c r="O555" s="736"/>
      <c r="P555" s="673" t="s">
        <v>54</v>
      </c>
      <c r="Q555" s="346">
        <v>0</v>
      </c>
      <c r="R555" s="346">
        <v>0</v>
      </c>
      <c r="S555" s="346">
        <v>0</v>
      </c>
      <c r="T555" s="346">
        <v>0</v>
      </c>
      <c r="U555" s="346">
        <v>0</v>
      </c>
      <c r="V555" s="346">
        <v>0</v>
      </c>
      <c r="W555" s="346">
        <v>0</v>
      </c>
      <c r="X555" s="397">
        <v>42000000</v>
      </c>
      <c r="Y555" s="347"/>
      <c r="Z555" s="346">
        <v>10000000</v>
      </c>
      <c r="AA555" s="346">
        <v>0</v>
      </c>
      <c r="AB555" s="346"/>
      <c r="AC555" s="346"/>
      <c r="AD555" s="346">
        <v>0</v>
      </c>
      <c r="AE555" s="346">
        <v>0</v>
      </c>
      <c r="AF555" s="347">
        <v>0</v>
      </c>
      <c r="AG555" s="360"/>
      <c r="AH555" s="346">
        <v>0</v>
      </c>
      <c r="AI555" s="348"/>
      <c r="AJ555" s="348"/>
      <c r="AK555" s="346">
        <f>Q555+R555+S555+T555+U555+V555+W555+X555+Y555+Z555+AA555+AB555+AC555+AD555+AE555+AF555+AG555+AH555+AI555+AJ555</f>
        <v>52000000</v>
      </c>
    </row>
    <row r="556" spans="1:37" ht="30" customHeight="1" x14ac:dyDescent="0.2">
      <c r="A556" s="167"/>
      <c r="B556" s="16"/>
      <c r="C556" s="649"/>
      <c r="D556" s="644"/>
      <c r="E556" s="649"/>
      <c r="F556" s="649"/>
      <c r="G556" s="30"/>
      <c r="H556" s="31"/>
      <c r="I556" s="30"/>
      <c r="J556" s="31"/>
      <c r="K556" s="154"/>
      <c r="L556" s="154"/>
      <c r="M556" s="30"/>
      <c r="N556" s="31"/>
      <c r="O556" s="30"/>
      <c r="P556" s="31"/>
      <c r="Q556" s="355">
        <f t="shared" ref="Q556:AK556" si="134">SUM(Q554:Q555)</f>
        <v>0</v>
      </c>
      <c r="R556" s="355">
        <f t="shared" si="134"/>
        <v>0</v>
      </c>
      <c r="S556" s="355">
        <f t="shared" si="134"/>
        <v>0</v>
      </c>
      <c r="T556" s="355">
        <f t="shared" si="134"/>
        <v>0</v>
      </c>
      <c r="U556" s="355">
        <f t="shared" si="134"/>
        <v>0</v>
      </c>
      <c r="V556" s="355">
        <f t="shared" si="134"/>
        <v>0</v>
      </c>
      <c r="W556" s="355">
        <f t="shared" si="134"/>
        <v>0</v>
      </c>
      <c r="X556" s="355">
        <f t="shared" si="134"/>
        <v>110000000</v>
      </c>
      <c r="Y556" s="355">
        <f t="shared" si="134"/>
        <v>0</v>
      </c>
      <c r="Z556" s="355">
        <f t="shared" si="134"/>
        <v>35000000</v>
      </c>
      <c r="AA556" s="355">
        <f t="shared" si="134"/>
        <v>0</v>
      </c>
      <c r="AB556" s="355">
        <f t="shared" si="134"/>
        <v>0</v>
      </c>
      <c r="AC556" s="355">
        <f t="shared" si="134"/>
        <v>0</v>
      </c>
      <c r="AD556" s="355">
        <f t="shared" si="134"/>
        <v>0</v>
      </c>
      <c r="AE556" s="355">
        <f t="shared" si="134"/>
        <v>0</v>
      </c>
      <c r="AF556" s="355">
        <f t="shared" si="134"/>
        <v>0</v>
      </c>
      <c r="AG556" s="355">
        <f t="shared" si="134"/>
        <v>0</v>
      </c>
      <c r="AH556" s="355">
        <f t="shared" si="134"/>
        <v>0</v>
      </c>
      <c r="AI556" s="355">
        <f t="shared" si="134"/>
        <v>0</v>
      </c>
      <c r="AJ556" s="355">
        <f t="shared" si="134"/>
        <v>0</v>
      </c>
      <c r="AK556" s="355">
        <f t="shared" si="134"/>
        <v>145000000</v>
      </c>
    </row>
    <row r="557" spans="1:37" ht="30" customHeight="1" x14ac:dyDescent="0.2">
      <c r="A557" s="167"/>
      <c r="B557" s="16"/>
      <c r="C557" s="116"/>
      <c r="D557" s="44"/>
      <c r="E557" s="116"/>
      <c r="F557" s="116"/>
      <c r="G557" s="44"/>
      <c r="H557" s="116"/>
      <c r="I557" s="44"/>
      <c r="J557" s="116"/>
      <c r="K557" s="158"/>
      <c r="L557" s="230"/>
      <c r="M557" s="74"/>
      <c r="N557" s="345"/>
      <c r="O557" s="74"/>
      <c r="P557" s="116"/>
      <c r="Q557" s="350"/>
      <c r="R557" s="350"/>
      <c r="S557" s="350"/>
      <c r="T557" s="350"/>
      <c r="U557" s="350"/>
      <c r="V557" s="350"/>
      <c r="W557" s="350"/>
      <c r="X557" s="350"/>
      <c r="Y557" s="350"/>
      <c r="Z557" s="350"/>
      <c r="AA557" s="350"/>
      <c r="AB557" s="350"/>
      <c r="AC557" s="350"/>
      <c r="AD557" s="350"/>
      <c r="AE557" s="350"/>
      <c r="AF557" s="352"/>
      <c r="AG557" s="353"/>
      <c r="AH557" s="350"/>
      <c r="AI557" s="350"/>
      <c r="AJ557" s="350"/>
      <c r="AK557" s="354"/>
    </row>
    <row r="558" spans="1:37" ht="30" customHeight="1" x14ac:dyDescent="0.2">
      <c r="A558" s="167"/>
      <c r="B558" s="16"/>
      <c r="C558" s="648"/>
      <c r="D558" s="642"/>
      <c r="E558" s="648"/>
      <c r="F558" s="648"/>
      <c r="G558" s="181">
        <v>37</v>
      </c>
      <c r="H558" s="52" t="s">
        <v>653</v>
      </c>
      <c r="I558" s="52"/>
      <c r="J558" s="52"/>
      <c r="K558" s="119"/>
      <c r="L558" s="119"/>
      <c r="M558" s="581"/>
      <c r="N558" s="136"/>
      <c r="O558" s="52"/>
      <c r="P558" s="52"/>
      <c r="Q558" s="231"/>
      <c r="R558" s="231"/>
      <c r="S558" s="231"/>
      <c r="T558" s="231"/>
      <c r="U558" s="231"/>
      <c r="V558" s="231"/>
      <c r="W558" s="231"/>
      <c r="X558" s="231"/>
      <c r="Y558" s="231"/>
      <c r="Z558" s="231"/>
      <c r="AA558" s="231"/>
      <c r="AB558" s="231"/>
      <c r="AC558" s="231"/>
      <c r="AD558" s="231"/>
      <c r="AE558" s="231"/>
      <c r="AF558" s="359"/>
      <c r="AG558" s="231"/>
      <c r="AH558" s="231"/>
      <c r="AI558" s="231"/>
      <c r="AJ558" s="231"/>
      <c r="AK558" s="233"/>
    </row>
    <row r="559" spans="1:37" ht="60" customHeight="1" x14ac:dyDescent="0.2">
      <c r="A559" s="167"/>
      <c r="B559" s="16"/>
      <c r="C559" s="649">
        <v>22</v>
      </c>
      <c r="D559" s="644" t="s">
        <v>654</v>
      </c>
      <c r="E559" s="649" t="s">
        <v>580</v>
      </c>
      <c r="F559" s="649" t="s">
        <v>655</v>
      </c>
      <c r="G559" s="17"/>
      <c r="H559" s="663">
        <v>132</v>
      </c>
      <c r="I559" s="665" t="s">
        <v>656</v>
      </c>
      <c r="J559" s="673" t="s">
        <v>32</v>
      </c>
      <c r="K559" s="288">
        <v>8</v>
      </c>
      <c r="L559" s="743">
        <v>2017003630081</v>
      </c>
      <c r="M559" s="734" t="s">
        <v>641</v>
      </c>
      <c r="N559" s="731" t="s">
        <v>657</v>
      </c>
      <c r="O559" s="734" t="s">
        <v>912</v>
      </c>
      <c r="P559" s="673" t="s">
        <v>41</v>
      </c>
      <c r="Q559" s="346">
        <v>0</v>
      </c>
      <c r="R559" s="346">
        <v>0</v>
      </c>
      <c r="S559" s="346">
        <v>0</v>
      </c>
      <c r="T559" s="346">
        <v>0</v>
      </c>
      <c r="U559" s="346">
        <v>0</v>
      </c>
      <c r="V559" s="346">
        <v>0</v>
      </c>
      <c r="W559" s="346">
        <v>0</v>
      </c>
      <c r="X559" s="397">
        <v>30000000</v>
      </c>
      <c r="Y559" s="347"/>
      <c r="Z559" s="346">
        <v>7000000</v>
      </c>
      <c r="AA559" s="346">
        <v>0</v>
      </c>
      <c r="AB559" s="346"/>
      <c r="AC559" s="346"/>
      <c r="AD559" s="346">
        <v>0</v>
      </c>
      <c r="AE559" s="346">
        <v>0</v>
      </c>
      <c r="AF559" s="347">
        <v>0</v>
      </c>
      <c r="AG559" s="360"/>
      <c r="AH559" s="346">
        <v>0</v>
      </c>
      <c r="AI559" s="348"/>
      <c r="AJ559" s="348"/>
      <c r="AK559" s="346">
        <f>Q559+R559+S559+T559+U559+V559+W559+X559+Y559+Z559+AA559+AB559+AC559+AD559+AE559+AF559+AG559+AH559+AI559+AJ559</f>
        <v>37000000</v>
      </c>
    </row>
    <row r="560" spans="1:37" ht="83.25" customHeight="1" x14ac:dyDescent="0.2">
      <c r="A560" s="167"/>
      <c r="B560" s="16"/>
      <c r="C560" s="116">
        <v>31</v>
      </c>
      <c r="D560" s="665" t="s">
        <v>658</v>
      </c>
      <c r="E560" s="227">
        <v>0.249</v>
      </c>
      <c r="F560" s="279">
        <v>0.2</v>
      </c>
      <c r="G560" s="23"/>
      <c r="H560" s="663">
        <v>133</v>
      </c>
      <c r="I560" s="665" t="s">
        <v>659</v>
      </c>
      <c r="J560" s="673">
        <v>0</v>
      </c>
      <c r="K560" s="288">
        <v>12</v>
      </c>
      <c r="L560" s="744"/>
      <c r="M560" s="735"/>
      <c r="N560" s="732"/>
      <c r="O560" s="735"/>
      <c r="P560" s="673" t="s">
        <v>41</v>
      </c>
      <c r="Q560" s="346">
        <v>0</v>
      </c>
      <c r="R560" s="346">
        <v>0</v>
      </c>
      <c r="S560" s="346">
        <v>0</v>
      </c>
      <c r="T560" s="346">
        <v>0</v>
      </c>
      <c r="U560" s="346">
        <v>0</v>
      </c>
      <c r="V560" s="346">
        <v>0</v>
      </c>
      <c r="W560" s="346">
        <v>0</v>
      </c>
      <c r="X560" s="613">
        <f>20000000+1500000</f>
        <v>21500000</v>
      </c>
      <c r="Y560" s="347"/>
      <c r="Z560" s="346">
        <v>4140000</v>
      </c>
      <c r="AA560" s="346">
        <v>0</v>
      </c>
      <c r="AB560" s="346"/>
      <c r="AC560" s="346"/>
      <c r="AD560" s="346">
        <v>0</v>
      </c>
      <c r="AE560" s="346">
        <v>0</v>
      </c>
      <c r="AF560" s="347">
        <v>0</v>
      </c>
      <c r="AG560" s="360"/>
      <c r="AH560" s="346">
        <v>0</v>
      </c>
      <c r="AI560" s="348"/>
      <c r="AJ560" s="348"/>
      <c r="AK560" s="346">
        <f>Q560+R560+S560+T560+U560+V560+W560+X560+Y560+Z560+AA560+AB560+AC560+AD560+AE560+AF560+AG560+AH560+AI560+AJ560</f>
        <v>25640000</v>
      </c>
    </row>
    <row r="561" spans="1:37" ht="60" customHeight="1" x14ac:dyDescent="0.2">
      <c r="A561" s="167"/>
      <c r="B561" s="16"/>
      <c r="C561" s="345">
        <v>33</v>
      </c>
      <c r="D561" s="642" t="s">
        <v>660</v>
      </c>
      <c r="E561" s="648">
        <v>0</v>
      </c>
      <c r="F561" s="648">
        <v>0</v>
      </c>
      <c r="G561" s="23"/>
      <c r="H561" s="673">
        <v>134</v>
      </c>
      <c r="I561" s="665" t="s">
        <v>661</v>
      </c>
      <c r="J561" s="120">
        <v>3600</v>
      </c>
      <c r="K561" s="288">
        <v>4800</v>
      </c>
      <c r="L561" s="744"/>
      <c r="M561" s="735"/>
      <c r="N561" s="732"/>
      <c r="O561" s="735"/>
      <c r="P561" s="673" t="s">
        <v>41</v>
      </c>
      <c r="Q561" s="346">
        <v>0</v>
      </c>
      <c r="R561" s="346">
        <v>0</v>
      </c>
      <c r="S561" s="346">
        <v>0</v>
      </c>
      <c r="T561" s="346">
        <v>0</v>
      </c>
      <c r="U561" s="346">
        <v>0</v>
      </c>
      <c r="V561" s="346">
        <v>0</v>
      </c>
      <c r="W561" s="346">
        <v>0</v>
      </c>
      <c r="X561" s="613">
        <f>35000000+2100000</f>
        <v>37100000</v>
      </c>
      <c r="Y561" s="347"/>
      <c r="Z561" s="346">
        <v>33860000</v>
      </c>
      <c r="AA561" s="346">
        <v>0</v>
      </c>
      <c r="AB561" s="346"/>
      <c r="AC561" s="346"/>
      <c r="AD561" s="346">
        <v>0</v>
      </c>
      <c r="AE561" s="346">
        <v>0</v>
      </c>
      <c r="AF561" s="347">
        <v>0</v>
      </c>
      <c r="AG561" s="360"/>
      <c r="AH561" s="346">
        <v>0</v>
      </c>
      <c r="AI561" s="348"/>
      <c r="AJ561" s="348"/>
      <c r="AK561" s="346">
        <f>Q561+R561+S561+T561+U561+V561+W561+X561+Y561+Z561+AA561+AB561+AC561+AD561+AE561+AF561+AG561+AH561+AI561+AJ561</f>
        <v>70960000</v>
      </c>
    </row>
    <row r="562" spans="1:37" ht="60" customHeight="1" x14ac:dyDescent="0.2">
      <c r="A562" s="167"/>
      <c r="B562" s="16"/>
      <c r="C562" s="648">
        <v>31</v>
      </c>
      <c r="D562" s="642" t="s">
        <v>584</v>
      </c>
      <c r="E562" s="668">
        <v>0.249</v>
      </c>
      <c r="F562" s="667">
        <v>0.2</v>
      </c>
      <c r="G562" s="65"/>
      <c r="H562" s="673">
        <v>135</v>
      </c>
      <c r="I562" s="665" t="s">
        <v>662</v>
      </c>
      <c r="J562" s="120">
        <v>12</v>
      </c>
      <c r="K562" s="288">
        <v>12</v>
      </c>
      <c r="L562" s="745"/>
      <c r="M562" s="736"/>
      <c r="N562" s="733"/>
      <c r="O562" s="736"/>
      <c r="P562" s="673" t="s">
        <v>41</v>
      </c>
      <c r="Q562" s="346"/>
      <c r="R562" s="346"/>
      <c r="S562" s="346"/>
      <c r="T562" s="346"/>
      <c r="U562" s="346"/>
      <c r="V562" s="346"/>
      <c r="W562" s="346"/>
      <c r="X562" s="613">
        <f>35000000-3600000</f>
        <v>31400000</v>
      </c>
      <c r="Y562" s="347"/>
      <c r="Z562" s="346"/>
      <c r="AA562" s="346"/>
      <c r="AB562" s="346"/>
      <c r="AC562" s="346"/>
      <c r="AD562" s="346"/>
      <c r="AE562" s="346"/>
      <c r="AF562" s="347"/>
      <c r="AG562" s="360"/>
      <c r="AH562" s="346">
        <v>0</v>
      </c>
      <c r="AI562" s="346"/>
      <c r="AJ562" s="346"/>
      <c r="AK562" s="346">
        <f>Q562+R562+S562+T562+U562+V562+W562+X562+Y562+Z562+AA562+AB562+AC562+AD562+AE562+AF562+AG562+AH562+AI562+AJ562</f>
        <v>31400000</v>
      </c>
    </row>
    <row r="563" spans="1:37" ht="30" customHeight="1" x14ac:dyDescent="0.2">
      <c r="A563" s="167"/>
      <c r="B563" s="16"/>
      <c r="C563" s="649"/>
      <c r="D563" s="644"/>
      <c r="E563" s="649"/>
      <c r="F563" s="649"/>
      <c r="G563" s="30"/>
      <c r="H563" s="31"/>
      <c r="I563" s="30"/>
      <c r="J563" s="289"/>
      <c r="K563" s="290"/>
      <c r="L563" s="290"/>
      <c r="M563" s="602"/>
      <c r="N563" s="31"/>
      <c r="O563" s="30"/>
      <c r="P563" s="31"/>
      <c r="Q563" s="355">
        <f t="shared" ref="Q563:AJ563" si="135">SUM(Q559:Q562)</f>
        <v>0</v>
      </c>
      <c r="R563" s="355">
        <f t="shared" si="135"/>
        <v>0</v>
      </c>
      <c r="S563" s="355">
        <f t="shared" si="135"/>
        <v>0</v>
      </c>
      <c r="T563" s="355">
        <f t="shared" si="135"/>
        <v>0</v>
      </c>
      <c r="U563" s="355">
        <f t="shared" si="135"/>
        <v>0</v>
      </c>
      <c r="V563" s="355">
        <f t="shared" si="135"/>
        <v>0</v>
      </c>
      <c r="W563" s="355">
        <f t="shared" si="135"/>
        <v>0</v>
      </c>
      <c r="X563" s="355">
        <f t="shared" si="135"/>
        <v>120000000</v>
      </c>
      <c r="Y563" s="355">
        <f t="shared" si="135"/>
        <v>0</v>
      </c>
      <c r="Z563" s="355">
        <f t="shared" si="135"/>
        <v>45000000</v>
      </c>
      <c r="AA563" s="355">
        <f t="shared" si="135"/>
        <v>0</v>
      </c>
      <c r="AB563" s="355">
        <f t="shared" si="135"/>
        <v>0</v>
      </c>
      <c r="AC563" s="355">
        <f t="shared" si="135"/>
        <v>0</v>
      </c>
      <c r="AD563" s="355">
        <f t="shared" si="135"/>
        <v>0</v>
      </c>
      <c r="AE563" s="355">
        <f t="shared" si="135"/>
        <v>0</v>
      </c>
      <c r="AF563" s="355">
        <f t="shared" si="135"/>
        <v>0</v>
      </c>
      <c r="AG563" s="355">
        <f t="shared" si="135"/>
        <v>0</v>
      </c>
      <c r="AH563" s="355">
        <f t="shared" si="135"/>
        <v>0</v>
      </c>
      <c r="AI563" s="355">
        <f t="shared" si="135"/>
        <v>0</v>
      </c>
      <c r="AJ563" s="355">
        <f t="shared" si="135"/>
        <v>0</v>
      </c>
      <c r="AK563" s="355">
        <f>SUM(AK559:AK562)</f>
        <v>165000000</v>
      </c>
    </row>
    <row r="564" spans="1:37" ht="30" customHeight="1" x14ac:dyDescent="0.2">
      <c r="A564" s="167"/>
      <c r="B564" s="16"/>
      <c r="C564" s="116"/>
      <c r="D564" s="44"/>
      <c r="E564" s="116"/>
      <c r="F564" s="116"/>
      <c r="G564" s="44"/>
      <c r="H564" s="116"/>
      <c r="I564" s="44"/>
      <c r="J564" s="116"/>
      <c r="K564" s="158"/>
      <c r="L564" s="230"/>
      <c r="M564" s="74"/>
      <c r="N564" s="345"/>
      <c r="O564" s="74"/>
      <c r="P564" s="116"/>
      <c r="Q564" s="350"/>
      <c r="R564" s="350"/>
      <c r="S564" s="350"/>
      <c r="T564" s="350"/>
      <c r="U564" s="350"/>
      <c r="V564" s="350"/>
      <c r="W564" s="350"/>
      <c r="X564" s="350"/>
      <c r="Y564" s="350"/>
      <c r="Z564" s="350"/>
      <c r="AA564" s="350"/>
      <c r="AB564" s="350"/>
      <c r="AC564" s="350"/>
      <c r="AD564" s="350"/>
      <c r="AE564" s="350"/>
      <c r="AF564" s="352"/>
      <c r="AG564" s="353"/>
      <c r="AH564" s="350"/>
      <c r="AI564" s="350"/>
      <c r="AJ564" s="351"/>
      <c r="AK564" s="354"/>
    </row>
    <row r="565" spans="1:37" ht="30" customHeight="1" x14ac:dyDescent="0.2">
      <c r="A565" s="167"/>
      <c r="B565" s="16"/>
      <c r="C565" s="648"/>
      <c r="D565" s="642"/>
      <c r="E565" s="648"/>
      <c r="F565" s="648"/>
      <c r="G565" s="181">
        <v>38</v>
      </c>
      <c r="H565" s="52" t="s">
        <v>663</v>
      </c>
      <c r="I565" s="52"/>
      <c r="J565" s="52"/>
      <c r="K565" s="119"/>
      <c r="L565" s="119"/>
      <c r="M565" s="581"/>
      <c r="N565" s="136"/>
      <c r="O565" s="52"/>
      <c r="P565" s="52"/>
      <c r="Q565" s="231"/>
      <c r="R565" s="231"/>
      <c r="S565" s="231"/>
      <c r="T565" s="231"/>
      <c r="U565" s="231"/>
      <c r="V565" s="231"/>
      <c r="W565" s="231"/>
      <c r="X565" s="231"/>
      <c r="Y565" s="231"/>
      <c r="Z565" s="231"/>
      <c r="AA565" s="231"/>
      <c r="AB565" s="231"/>
      <c r="AC565" s="231"/>
      <c r="AD565" s="231"/>
      <c r="AE565" s="231"/>
      <c r="AF565" s="359"/>
      <c r="AG565" s="231"/>
      <c r="AH565" s="231"/>
      <c r="AI565" s="231"/>
      <c r="AJ565" s="231"/>
      <c r="AK565" s="233"/>
    </row>
    <row r="566" spans="1:37" ht="71.25" customHeight="1" x14ac:dyDescent="0.2">
      <c r="A566" s="167"/>
      <c r="B566" s="16"/>
      <c r="C566" s="732">
        <v>22</v>
      </c>
      <c r="D566" s="732" t="s">
        <v>579</v>
      </c>
      <c r="E566" s="732" t="s">
        <v>580</v>
      </c>
      <c r="F566" s="732" t="s">
        <v>581</v>
      </c>
      <c r="G566" s="291"/>
      <c r="H566" s="18">
        <v>136</v>
      </c>
      <c r="I566" s="665" t="s">
        <v>664</v>
      </c>
      <c r="J566" s="673" t="s">
        <v>32</v>
      </c>
      <c r="K566" s="292">
        <v>12</v>
      </c>
      <c r="L566" s="743">
        <v>2017003630102</v>
      </c>
      <c r="M566" s="778" t="s">
        <v>641</v>
      </c>
      <c r="N566" s="731" t="s">
        <v>665</v>
      </c>
      <c r="O566" s="734" t="s">
        <v>666</v>
      </c>
      <c r="P566" s="673" t="s">
        <v>41</v>
      </c>
      <c r="Q566" s="346">
        <v>0</v>
      </c>
      <c r="R566" s="346">
        <v>0</v>
      </c>
      <c r="S566" s="346">
        <v>0</v>
      </c>
      <c r="T566" s="346">
        <v>0</v>
      </c>
      <c r="U566" s="346">
        <v>0</v>
      </c>
      <c r="V566" s="346">
        <v>0</v>
      </c>
      <c r="W566" s="346">
        <v>0</v>
      </c>
      <c r="X566" s="22">
        <f>40000000+2649900</f>
        <v>42649900</v>
      </c>
      <c r="Y566" s="347"/>
      <c r="Z566" s="346">
        <v>0</v>
      </c>
      <c r="AA566" s="346">
        <v>0</v>
      </c>
      <c r="AB566" s="346"/>
      <c r="AC566" s="346"/>
      <c r="AD566" s="346">
        <v>0</v>
      </c>
      <c r="AE566" s="346">
        <v>0</v>
      </c>
      <c r="AF566" s="347">
        <v>0</v>
      </c>
      <c r="AG566" s="360"/>
      <c r="AH566" s="346">
        <v>0</v>
      </c>
      <c r="AI566" s="348"/>
      <c r="AJ566" s="348">
        <v>0</v>
      </c>
      <c r="AK566" s="346">
        <f>Q566+R566+S566+T566+U566+V566+W566+X566+Y566+Z566+AA566+AB566+AC566+AD566+AE566+AF566+AG566+AH566+AI566+AJ566</f>
        <v>42649900</v>
      </c>
    </row>
    <row r="567" spans="1:37" ht="54.75" customHeight="1" x14ac:dyDescent="0.2">
      <c r="A567" s="167"/>
      <c r="B567" s="16"/>
      <c r="C567" s="732"/>
      <c r="D567" s="732"/>
      <c r="E567" s="732"/>
      <c r="F567" s="732"/>
      <c r="G567" s="214"/>
      <c r="H567" s="18">
        <v>137</v>
      </c>
      <c r="I567" s="665" t="s">
        <v>667</v>
      </c>
      <c r="J567" s="673">
        <v>0</v>
      </c>
      <c r="K567" s="292">
        <v>12</v>
      </c>
      <c r="L567" s="744"/>
      <c r="M567" s="779"/>
      <c r="N567" s="732"/>
      <c r="O567" s="735"/>
      <c r="P567" s="673" t="s">
        <v>41</v>
      </c>
      <c r="Q567" s="346">
        <v>0</v>
      </c>
      <c r="R567" s="346">
        <v>0</v>
      </c>
      <c r="S567" s="346">
        <v>0</v>
      </c>
      <c r="T567" s="346">
        <v>0</v>
      </c>
      <c r="U567" s="346">
        <v>0</v>
      </c>
      <c r="V567" s="346">
        <v>0</v>
      </c>
      <c r="W567" s="346">
        <v>0</v>
      </c>
      <c r="X567" s="22">
        <f>30000000+23000000</f>
        <v>53000000</v>
      </c>
      <c r="Y567" s="347"/>
      <c r="Z567" s="346">
        <v>0</v>
      </c>
      <c r="AA567" s="346">
        <v>0</v>
      </c>
      <c r="AB567" s="346"/>
      <c r="AC567" s="346"/>
      <c r="AD567" s="346">
        <v>0</v>
      </c>
      <c r="AE567" s="346">
        <v>0</v>
      </c>
      <c r="AF567" s="347">
        <v>0</v>
      </c>
      <c r="AG567" s="360"/>
      <c r="AH567" s="346">
        <v>0</v>
      </c>
      <c r="AI567" s="348"/>
      <c r="AJ567" s="348">
        <v>0</v>
      </c>
      <c r="AK567" s="346">
        <f>Q567+R567+S567+T567+U567+V567+W567+X567+Y567+Z567+AA567+AB567+AC567+AD567+AE567+AF567+AG567+AH567+AI567+AJ567</f>
        <v>53000000</v>
      </c>
    </row>
    <row r="568" spans="1:37" ht="73.5" customHeight="1" x14ac:dyDescent="0.2">
      <c r="A568" s="167"/>
      <c r="B568" s="16"/>
      <c r="C568" s="732"/>
      <c r="D568" s="732"/>
      <c r="E568" s="732"/>
      <c r="F568" s="732"/>
      <c r="G568" s="214"/>
      <c r="H568" s="18">
        <v>138</v>
      </c>
      <c r="I568" s="665" t="s">
        <v>668</v>
      </c>
      <c r="J568" s="673" t="s">
        <v>32</v>
      </c>
      <c r="K568" s="153">
        <v>12</v>
      </c>
      <c r="L568" s="745"/>
      <c r="M568" s="780"/>
      <c r="N568" s="733"/>
      <c r="O568" s="736"/>
      <c r="P568" s="673" t="s">
        <v>41</v>
      </c>
      <c r="Q568" s="346">
        <v>0</v>
      </c>
      <c r="R568" s="346">
        <v>0</v>
      </c>
      <c r="S568" s="346">
        <v>0</v>
      </c>
      <c r="T568" s="346">
        <v>0</v>
      </c>
      <c r="U568" s="346">
        <v>0</v>
      </c>
      <c r="V568" s="346">
        <v>0</v>
      </c>
      <c r="W568" s="346">
        <v>0</v>
      </c>
      <c r="X568" s="22">
        <f>30000000+23000000</f>
        <v>53000000</v>
      </c>
      <c r="Y568" s="347"/>
      <c r="Z568" s="346">
        <v>0</v>
      </c>
      <c r="AA568" s="346">
        <v>0</v>
      </c>
      <c r="AB568" s="346"/>
      <c r="AC568" s="346"/>
      <c r="AD568" s="346">
        <v>0</v>
      </c>
      <c r="AE568" s="346">
        <v>0</v>
      </c>
      <c r="AF568" s="347">
        <v>0</v>
      </c>
      <c r="AG568" s="360"/>
      <c r="AH568" s="346">
        <v>0</v>
      </c>
      <c r="AI568" s="348"/>
      <c r="AJ568" s="348">
        <v>0</v>
      </c>
      <c r="AK568" s="346">
        <f>Q568+R568+S568+T568+U568+V568+W568+X568+Y568+Z568+AA568+AB568+AC568+AD568+AE568+AF568+AG568+AH568+AI568+AJ568</f>
        <v>53000000</v>
      </c>
    </row>
    <row r="569" spans="1:37" ht="30" customHeight="1" x14ac:dyDescent="0.2">
      <c r="A569" s="167"/>
      <c r="B569" s="16"/>
      <c r="C569" s="649"/>
      <c r="D569" s="644"/>
      <c r="E569" s="649"/>
      <c r="F569" s="649"/>
      <c r="G569" s="151"/>
      <c r="H569" s="32"/>
      <c r="I569" s="30"/>
      <c r="J569" s="31"/>
      <c r="K569" s="56"/>
      <c r="L569" s="56"/>
      <c r="M569" s="151"/>
      <c r="N569" s="31"/>
      <c r="O569" s="200"/>
      <c r="P569" s="31"/>
      <c r="Q569" s="355">
        <f t="shared" ref="Q569:AK569" si="136">SUM(Q566:Q568)</f>
        <v>0</v>
      </c>
      <c r="R569" s="355">
        <f t="shared" si="136"/>
        <v>0</v>
      </c>
      <c r="S569" s="355">
        <f t="shared" si="136"/>
        <v>0</v>
      </c>
      <c r="T569" s="355">
        <f t="shared" si="136"/>
        <v>0</v>
      </c>
      <c r="U569" s="355">
        <f t="shared" si="136"/>
        <v>0</v>
      </c>
      <c r="V569" s="355">
        <f t="shared" si="136"/>
        <v>0</v>
      </c>
      <c r="W569" s="355">
        <f t="shared" si="136"/>
        <v>0</v>
      </c>
      <c r="X569" s="355">
        <f t="shared" si="136"/>
        <v>148649900</v>
      </c>
      <c r="Y569" s="355">
        <f t="shared" si="136"/>
        <v>0</v>
      </c>
      <c r="Z569" s="355">
        <f t="shared" si="136"/>
        <v>0</v>
      </c>
      <c r="AA569" s="355">
        <f t="shared" si="136"/>
        <v>0</v>
      </c>
      <c r="AB569" s="355">
        <f t="shared" si="136"/>
        <v>0</v>
      </c>
      <c r="AC569" s="355">
        <f t="shared" si="136"/>
        <v>0</v>
      </c>
      <c r="AD569" s="355">
        <f t="shared" si="136"/>
        <v>0</v>
      </c>
      <c r="AE569" s="355">
        <f t="shared" si="136"/>
        <v>0</v>
      </c>
      <c r="AF569" s="355">
        <f t="shared" si="136"/>
        <v>0</v>
      </c>
      <c r="AG569" s="355">
        <f t="shared" si="136"/>
        <v>0</v>
      </c>
      <c r="AH569" s="355">
        <f t="shared" si="136"/>
        <v>0</v>
      </c>
      <c r="AI569" s="355">
        <f t="shared" si="136"/>
        <v>0</v>
      </c>
      <c r="AJ569" s="355">
        <f t="shared" si="136"/>
        <v>0</v>
      </c>
      <c r="AK569" s="355">
        <f t="shared" si="136"/>
        <v>148649900</v>
      </c>
    </row>
    <row r="570" spans="1:37" ht="30" customHeight="1" x14ac:dyDescent="0.2">
      <c r="A570" s="167"/>
      <c r="B570" s="16"/>
      <c r="C570" s="116"/>
      <c r="D570" s="44"/>
      <c r="E570" s="116"/>
      <c r="F570" s="116"/>
      <c r="G570" s="44"/>
      <c r="H570" s="116"/>
      <c r="I570" s="44"/>
      <c r="J570" s="116"/>
      <c r="K570" s="219"/>
      <c r="L570" s="293"/>
      <c r="M570" s="74"/>
      <c r="N570" s="345"/>
      <c r="O570" s="74"/>
      <c r="P570" s="116"/>
      <c r="Q570" s="350"/>
      <c r="R570" s="350"/>
      <c r="S570" s="350"/>
      <c r="T570" s="350"/>
      <c r="U570" s="350"/>
      <c r="V570" s="350"/>
      <c r="W570" s="350"/>
      <c r="X570" s="350"/>
      <c r="Y570" s="350"/>
      <c r="Z570" s="350"/>
      <c r="AA570" s="350"/>
      <c r="AB570" s="350"/>
      <c r="AC570" s="350"/>
      <c r="AD570" s="350"/>
      <c r="AE570" s="350"/>
      <c r="AF570" s="352"/>
      <c r="AG570" s="353"/>
      <c r="AH570" s="350"/>
      <c r="AI570" s="350"/>
      <c r="AJ570" s="350"/>
      <c r="AK570" s="354"/>
    </row>
    <row r="571" spans="1:37" ht="30" customHeight="1" x14ac:dyDescent="0.2">
      <c r="A571" s="167"/>
      <c r="B571" s="16"/>
      <c r="C571" s="648"/>
      <c r="D571" s="642"/>
      <c r="E571" s="648"/>
      <c r="F571" s="648"/>
      <c r="G571" s="181">
        <v>39</v>
      </c>
      <c r="H571" s="51" t="s">
        <v>669</v>
      </c>
      <c r="I571" s="52"/>
      <c r="J571" s="52"/>
      <c r="K571" s="64"/>
      <c r="L571" s="64"/>
      <c r="M571" s="581"/>
      <c r="N571" s="136"/>
      <c r="O571" s="52"/>
      <c r="P571" s="52"/>
      <c r="Q571" s="231"/>
      <c r="R571" s="231"/>
      <c r="S571" s="231"/>
      <c r="T571" s="231"/>
      <c r="U571" s="231"/>
      <c r="V571" s="231"/>
      <c r="W571" s="231"/>
      <c r="X571" s="231"/>
      <c r="Y571" s="231"/>
      <c r="Z571" s="231"/>
      <c r="AA571" s="231"/>
      <c r="AB571" s="231"/>
      <c r="AC571" s="231"/>
      <c r="AD571" s="231"/>
      <c r="AE571" s="231"/>
      <c r="AF571" s="359"/>
      <c r="AG571" s="231"/>
      <c r="AH571" s="231"/>
      <c r="AI571" s="231"/>
      <c r="AJ571" s="231"/>
      <c r="AK571" s="233"/>
    </row>
    <row r="572" spans="1:37" ht="48.75" customHeight="1" x14ac:dyDescent="0.2">
      <c r="A572" s="167"/>
      <c r="B572" s="16"/>
      <c r="C572" s="649">
        <v>36</v>
      </c>
      <c r="D572" s="65" t="s">
        <v>670</v>
      </c>
      <c r="E572" s="650">
        <v>0.4</v>
      </c>
      <c r="F572" s="650">
        <v>0.6</v>
      </c>
      <c r="G572" s="732"/>
      <c r="H572" s="673">
        <v>139</v>
      </c>
      <c r="I572" s="665" t="s">
        <v>671</v>
      </c>
      <c r="J572" s="673">
        <v>0</v>
      </c>
      <c r="K572" s="80">
        <v>1</v>
      </c>
      <c r="L572" s="743">
        <v>2017003630080</v>
      </c>
      <c r="M572" s="735"/>
      <c r="N572" s="731" t="s">
        <v>672</v>
      </c>
      <c r="O572" s="734" t="s">
        <v>913</v>
      </c>
      <c r="P572" s="673" t="s">
        <v>41</v>
      </c>
      <c r="Q572" s="346"/>
      <c r="R572" s="346"/>
      <c r="S572" s="346"/>
      <c r="T572" s="346"/>
      <c r="U572" s="346"/>
      <c r="V572" s="346"/>
      <c r="W572" s="346"/>
      <c r="X572" s="346">
        <v>72000000</v>
      </c>
      <c r="Y572" s="397"/>
      <c r="Z572" s="346">
        <v>40000000</v>
      </c>
      <c r="AA572" s="346"/>
      <c r="AB572" s="346"/>
      <c r="AC572" s="346"/>
      <c r="AD572" s="346"/>
      <c r="AE572" s="346"/>
      <c r="AF572" s="347"/>
      <c r="AG572" s="360"/>
      <c r="AH572" s="346"/>
      <c r="AI572" s="348"/>
      <c r="AJ572" s="348"/>
      <c r="AK572" s="346">
        <f>Q572+R572+S572+T572+U572+V572+W572+X572+Y572+Z572+AA572+AB572+AC572+AD572+AE572+AF572+AG572+AH572+AI572+AJ572</f>
        <v>112000000</v>
      </c>
    </row>
    <row r="573" spans="1:37" ht="48.75" customHeight="1" x14ac:dyDescent="0.2">
      <c r="A573" s="167"/>
      <c r="B573" s="16"/>
      <c r="C573" s="731" t="s">
        <v>673</v>
      </c>
      <c r="D573" s="734" t="s">
        <v>674</v>
      </c>
      <c r="E573" s="731">
        <v>1</v>
      </c>
      <c r="F573" s="731">
        <v>1</v>
      </c>
      <c r="G573" s="732"/>
      <c r="H573" s="673">
        <v>140</v>
      </c>
      <c r="I573" s="665" t="s">
        <v>675</v>
      </c>
      <c r="J573" s="673">
        <v>1</v>
      </c>
      <c r="K573" s="80">
        <v>1</v>
      </c>
      <c r="L573" s="744"/>
      <c r="M573" s="735"/>
      <c r="N573" s="732"/>
      <c r="O573" s="735"/>
      <c r="P573" s="673" t="s">
        <v>41</v>
      </c>
      <c r="Q573" s="346">
        <v>0</v>
      </c>
      <c r="R573" s="346">
        <v>0</v>
      </c>
      <c r="S573" s="346">
        <v>0</v>
      </c>
      <c r="T573" s="346">
        <v>0</v>
      </c>
      <c r="U573" s="346">
        <v>0</v>
      </c>
      <c r="V573" s="346">
        <v>0</v>
      </c>
      <c r="W573" s="346">
        <v>0</v>
      </c>
      <c r="X573" s="346">
        <v>24000000</v>
      </c>
      <c r="Y573" s="397"/>
      <c r="Z573" s="346">
        <v>2500000</v>
      </c>
      <c r="AA573" s="346">
        <v>0</v>
      </c>
      <c r="AB573" s="346"/>
      <c r="AC573" s="346"/>
      <c r="AD573" s="346">
        <v>0</v>
      </c>
      <c r="AE573" s="346">
        <v>0</v>
      </c>
      <c r="AF573" s="347">
        <v>0</v>
      </c>
      <c r="AG573" s="360"/>
      <c r="AH573" s="346">
        <v>0</v>
      </c>
      <c r="AI573" s="348"/>
      <c r="AJ573" s="348"/>
      <c r="AK573" s="346">
        <f>Q573+R573+S573+T573+U573+V573+W573+X573+Y573+Z573+AA573+AB573+AC573+AD573+AE573+AF573+AG573+AH573+AI573+AJ573</f>
        <v>26500000</v>
      </c>
    </row>
    <row r="574" spans="1:37" ht="48.75" customHeight="1" x14ac:dyDescent="0.2">
      <c r="A574" s="167"/>
      <c r="B574" s="16"/>
      <c r="C574" s="732"/>
      <c r="D574" s="735"/>
      <c r="E574" s="732"/>
      <c r="F574" s="732"/>
      <c r="G574" s="733"/>
      <c r="H574" s="673">
        <v>141</v>
      </c>
      <c r="I574" s="665" t="s">
        <v>676</v>
      </c>
      <c r="J574" s="673" t="s">
        <v>32</v>
      </c>
      <c r="K574" s="80">
        <v>1</v>
      </c>
      <c r="L574" s="745"/>
      <c r="M574" s="736"/>
      <c r="N574" s="733"/>
      <c r="O574" s="736"/>
      <c r="P574" s="673" t="s">
        <v>41</v>
      </c>
      <c r="Q574" s="346">
        <v>0</v>
      </c>
      <c r="R574" s="346">
        <v>0</v>
      </c>
      <c r="S574" s="346">
        <v>0</v>
      </c>
      <c r="T574" s="346">
        <v>0</v>
      </c>
      <c r="U574" s="346">
        <v>0</v>
      </c>
      <c r="V574" s="346">
        <v>0</v>
      </c>
      <c r="W574" s="346">
        <v>0</v>
      </c>
      <c r="X574" s="346">
        <v>24000000</v>
      </c>
      <c r="Y574" s="397"/>
      <c r="Z574" s="346">
        <v>2500000</v>
      </c>
      <c r="AA574" s="346">
        <v>0</v>
      </c>
      <c r="AB574" s="346"/>
      <c r="AC574" s="346"/>
      <c r="AD574" s="346">
        <v>0</v>
      </c>
      <c r="AE574" s="346">
        <v>0</v>
      </c>
      <c r="AF574" s="347">
        <v>0</v>
      </c>
      <c r="AG574" s="360"/>
      <c r="AH574" s="346">
        <v>0</v>
      </c>
      <c r="AI574" s="348"/>
      <c r="AJ574" s="348"/>
      <c r="AK574" s="346">
        <f>Q574+R574+S574+T574+U574+V574+W574+X574+Y574+Z574+AA574+AB574+AC574+AD574+AE574+AF574+AG574+AH574+AI574+AJ574</f>
        <v>26500000</v>
      </c>
    </row>
    <row r="575" spans="1:37" ht="30" customHeight="1" x14ac:dyDescent="0.2">
      <c r="A575" s="167"/>
      <c r="B575" s="16"/>
      <c r="C575" s="649"/>
      <c r="D575" s="644"/>
      <c r="E575" s="649"/>
      <c r="F575" s="649"/>
      <c r="G575" s="30"/>
      <c r="H575" s="31"/>
      <c r="I575" s="30"/>
      <c r="J575" s="31"/>
      <c r="K575" s="104"/>
      <c r="L575" s="104"/>
      <c r="M575" s="30"/>
      <c r="N575" s="31"/>
      <c r="O575" s="30"/>
      <c r="P575" s="31"/>
      <c r="Q575" s="355">
        <f t="shared" ref="Q575:AJ575" si="137">SUM(Q572:Q574)</f>
        <v>0</v>
      </c>
      <c r="R575" s="355">
        <f t="shared" si="137"/>
        <v>0</v>
      </c>
      <c r="S575" s="355">
        <f t="shared" si="137"/>
        <v>0</v>
      </c>
      <c r="T575" s="355">
        <f t="shared" si="137"/>
        <v>0</v>
      </c>
      <c r="U575" s="355">
        <f t="shared" si="137"/>
        <v>0</v>
      </c>
      <c r="V575" s="355">
        <f t="shared" si="137"/>
        <v>0</v>
      </c>
      <c r="W575" s="355">
        <f t="shared" si="137"/>
        <v>0</v>
      </c>
      <c r="X575" s="355">
        <f t="shared" si="137"/>
        <v>120000000</v>
      </c>
      <c r="Y575" s="355">
        <f t="shared" si="137"/>
        <v>0</v>
      </c>
      <c r="Z575" s="355">
        <f t="shared" si="137"/>
        <v>45000000</v>
      </c>
      <c r="AA575" s="355">
        <f t="shared" si="137"/>
        <v>0</v>
      </c>
      <c r="AB575" s="355">
        <f t="shared" si="137"/>
        <v>0</v>
      </c>
      <c r="AC575" s="355">
        <f t="shared" si="137"/>
        <v>0</v>
      </c>
      <c r="AD575" s="355">
        <f t="shared" si="137"/>
        <v>0</v>
      </c>
      <c r="AE575" s="355">
        <f t="shared" si="137"/>
        <v>0</v>
      </c>
      <c r="AF575" s="355">
        <f t="shared" si="137"/>
        <v>0</v>
      </c>
      <c r="AG575" s="355">
        <f t="shared" si="137"/>
        <v>0</v>
      </c>
      <c r="AH575" s="355">
        <f t="shared" si="137"/>
        <v>0</v>
      </c>
      <c r="AI575" s="355">
        <f t="shared" si="137"/>
        <v>0</v>
      </c>
      <c r="AJ575" s="355">
        <f t="shared" si="137"/>
        <v>0</v>
      </c>
      <c r="AK575" s="355">
        <f>SUM(AK572:AK574)</f>
        <v>165000000</v>
      </c>
    </row>
    <row r="576" spans="1:37" ht="30" customHeight="1" x14ac:dyDescent="0.2">
      <c r="A576" s="167"/>
      <c r="B576" s="16"/>
      <c r="C576" s="116"/>
      <c r="D576" s="44"/>
      <c r="E576" s="116"/>
      <c r="F576" s="116"/>
      <c r="G576" s="44"/>
      <c r="H576" s="116"/>
      <c r="I576" s="44"/>
      <c r="J576" s="116"/>
      <c r="K576" s="117"/>
      <c r="L576" s="229"/>
      <c r="M576" s="74"/>
      <c r="N576" s="345"/>
      <c r="O576" s="74"/>
      <c r="P576" s="116"/>
      <c r="Q576" s="350"/>
      <c r="R576" s="350"/>
      <c r="S576" s="350"/>
      <c r="T576" s="350"/>
      <c r="U576" s="350"/>
      <c r="V576" s="350"/>
      <c r="W576" s="350"/>
      <c r="X576" s="350"/>
      <c r="Y576" s="350"/>
      <c r="Z576" s="350"/>
      <c r="AA576" s="350"/>
      <c r="AB576" s="350"/>
      <c r="AC576" s="350"/>
      <c r="AD576" s="350"/>
      <c r="AE576" s="350"/>
      <c r="AF576" s="352"/>
      <c r="AG576" s="353"/>
      <c r="AH576" s="350"/>
      <c r="AI576" s="350"/>
      <c r="AJ576" s="351"/>
      <c r="AK576" s="354"/>
    </row>
    <row r="577" spans="1:37" ht="30" customHeight="1" x14ac:dyDescent="0.2">
      <c r="A577" s="167"/>
      <c r="B577" s="16"/>
      <c r="C577" s="648"/>
      <c r="D577" s="642"/>
      <c r="E577" s="648"/>
      <c r="F577" s="648"/>
      <c r="G577" s="181">
        <v>40</v>
      </c>
      <c r="H577" s="52" t="s">
        <v>677</v>
      </c>
      <c r="I577" s="52"/>
      <c r="J577" s="52"/>
      <c r="K577" s="96"/>
      <c r="L577" s="96"/>
      <c r="M577" s="581"/>
      <c r="N577" s="136"/>
      <c r="O577" s="52"/>
      <c r="P577" s="52"/>
      <c r="Q577" s="231"/>
      <c r="R577" s="231"/>
      <c r="S577" s="231"/>
      <c r="T577" s="231"/>
      <c r="U577" s="231"/>
      <c r="V577" s="231"/>
      <c r="W577" s="231"/>
      <c r="X577" s="231"/>
      <c r="Y577" s="231"/>
      <c r="Z577" s="231"/>
      <c r="AA577" s="231"/>
      <c r="AB577" s="231"/>
      <c r="AC577" s="231"/>
      <c r="AD577" s="231"/>
      <c r="AE577" s="231"/>
      <c r="AF577" s="359"/>
      <c r="AG577" s="231"/>
      <c r="AH577" s="231"/>
      <c r="AI577" s="231"/>
      <c r="AJ577" s="231"/>
      <c r="AK577" s="233"/>
    </row>
    <row r="578" spans="1:37" ht="67.5" customHeight="1" x14ac:dyDescent="0.2">
      <c r="A578" s="167"/>
      <c r="B578" s="16"/>
      <c r="C578" s="649">
        <v>26</v>
      </c>
      <c r="D578" s="65" t="s">
        <v>678</v>
      </c>
      <c r="E578" s="649" t="s">
        <v>679</v>
      </c>
      <c r="F578" s="649" t="s">
        <v>680</v>
      </c>
      <c r="G578" s="17"/>
      <c r="H578" s="663">
        <v>142</v>
      </c>
      <c r="I578" s="665" t="s">
        <v>681</v>
      </c>
      <c r="J578" s="673" t="s">
        <v>32</v>
      </c>
      <c r="K578" s="80">
        <v>12</v>
      </c>
      <c r="L578" s="743">
        <v>2017003630106</v>
      </c>
      <c r="M578" s="734" t="s">
        <v>641</v>
      </c>
      <c r="N578" s="731" t="s">
        <v>682</v>
      </c>
      <c r="O578" s="734" t="s">
        <v>683</v>
      </c>
      <c r="P578" s="673" t="s">
        <v>41</v>
      </c>
      <c r="Q578" s="346">
        <v>0</v>
      </c>
      <c r="R578" s="346">
        <v>0</v>
      </c>
      <c r="S578" s="346">
        <v>0</v>
      </c>
      <c r="T578" s="346">
        <v>0</v>
      </c>
      <c r="U578" s="346">
        <v>0</v>
      </c>
      <c r="V578" s="346">
        <v>0</v>
      </c>
      <c r="W578" s="346">
        <v>0</v>
      </c>
      <c r="X578" s="346">
        <v>80000000</v>
      </c>
      <c r="Y578" s="347"/>
      <c r="Z578" s="346">
        <v>27000000</v>
      </c>
      <c r="AA578" s="346">
        <v>0</v>
      </c>
      <c r="AB578" s="346"/>
      <c r="AC578" s="346"/>
      <c r="AD578" s="346">
        <v>0</v>
      </c>
      <c r="AE578" s="346">
        <v>0</v>
      </c>
      <c r="AF578" s="347">
        <v>0</v>
      </c>
      <c r="AG578" s="360"/>
      <c r="AH578" s="346">
        <v>0</v>
      </c>
      <c r="AI578" s="348"/>
      <c r="AJ578" s="375">
        <v>0</v>
      </c>
      <c r="AK578" s="346">
        <f>Q578+R578+S578+T578+U578+V578+W578+X578+Y578+Z578+AA578+AB578+AC578+AD578+AE578+AF578+AG578+AH578+AI578+AJ578</f>
        <v>107000000</v>
      </c>
    </row>
    <row r="579" spans="1:37" ht="67.5" customHeight="1" x14ac:dyDescent="0.2">
      <c r="A579" s="167"/>
      <c r="B579" s="16"/>
      <c r="C579" s="116">
        <v>30</v>
      </c>
      <c r="D579" s="111" t="s">
        <v>684</v>
      </c>
      <c r="E579" s="673" t="s">
        <v>685</v>
      </c>
      <c r="F579" s="673" t="s">
        <v>685</v>
      </c>
      <c r="G579" s="23"/>
      <c r="H579" s="663">
        <v>143</v>
      </c>
      <c r="I579" s="665" t="s">
        <v>686</v>
      </c>
      <c r="J579" s="673">
        <v>1</v>
      </c>
      <c r="K579" s="80">
        <v>1</v>
      </c>
      <c r="L579" s="745"/>
      <c r="M579" s="736"/>
      <c r="N579" s="732"/>
      <c r="O579" s="736"/>
      <c r="P579" s="673" t="s">
        <v>41</v>
      </c>
      <c r="Q579" s="346">
        <v>0</v>
      </c>
      <c r="R579" s="346">
        <v>0</v>
      </c>
      <c r="S579" s="346">
        <v>0</v>
      </c>
      <c r="T579" s="346">
        <v>0</v>
      </c>
      <c r="U579" s="346">
        <v>0</v>
      </c>
      <c r="V579" s="346">
        <v>0</v>
      </c>
      <c r="W579" s="346">
        <v>0</v>
      </c>
      <c r="X579" s="346">
        <v>35000000</v>
      </c>
      <c r="Y579" s="347"/>
      <c r="Z579" s="346">
        <v>0</v>
      </c>
      <c r="AA579" s="346">
        <v>0</v>
      </c>
      <c r="AB579" s="346"/>
      <c r="AC579" s="346"/>
      <c r="AD579" s="346">
        <v>0</v>
      </c>
      <c r="AE579" s="346">
        <v>0</v>
      </c>
      <c r="AF579" s="347">
        <v>0</v>
      </c>
      <c r="AG579" s="360"/>
      <c r="AH579" s="346">
        <v>0</v>
      </c>
      <c r="AI579" s="348"/>
      <c r="AJ579" s="348">
        <v>0</v>
      </c>
      <c r="AK579" s="346">
        <f>Q579+R579+S579+T579+U579+V579+W579+X579+Y579+Z579+AA579+AB579+AC579+AD579+AE579+AF579+AG579+AH579+AI579+AJ579</f>
        <v>35000000</v>
      </c>
    </row>
    <row r="580" spans="1:37" ht="67.5" customHeight="1" x14ac:dyDescent="0.2">
      <c r="A580" s="167"/>
      <c r="B580" s="16"/>
      <c r="C580" s="663" t="s">
        <v>673</v>
      </c>
      <c r="D580" s="644" t="s">
        <v>687</v>
      </c>
      <c r="E580" s="649">
        <v>10</v>
      </c>
      <c r="F580" s="649" t="s">
        <v>688</v>
      </c>
      <c r="G580" s="23"/>
      <c r="H580" s="663">
        <v>144</v>
      </c>
      <c r="I580" s="665" t="s">
        <v>689</v>
      </c>
      <c r="J580" s="673">
        <v>5</v>
      </c>
      <c r="K580" s="80">
        <v>5</v>
      </c>
      <c r="L580" s="743">
        <v>2017003630079</v>
      </c>
      <c r="M580" s="781" t="s">
        <v>641</v>
      </c>
      <c r="N580" s="783" t="s">
        <v>690</v>
      </c>
      <c r="O580" s="772" t="s">
        <v>914</v>
      </c>
      <c r="P580" s="673" t="s">
        <v>41</v>
      </c>
      <c r="Q580" s="346">
        <v>0</v>
      </c>
      <c r="R580" s="346">
        <v>0</v>
      </c>
      <c r="S580" s="346">
        <v>0</v>
      </c>
      <c r="T580" s="346">
        <v>0</v>
      </c>
      <c r="U580" s="346">
        <v>0</v>
      </c>
      <c r="V580" s="346">
        <v>0</v>
      </c>
      <c r="W580" s="346">
        <v>0</v>
      </c>
      <c r="X580" s="540">
        <f>120000000-13963450.93</f>
        <v>106036549.06999999</v>
      </c>
      <c r="Y580" s="347"/>
      <c r="Z580" s="346">
        <v>0</v>
      </c>
      <c r="AA580" s="374"/>
      <c r="AB580" s="346"/>
      <c r="AC580" s="346"/>
      <c r="AD580" s="346">
        <v>0</v>
      </c>
      <c r="AE580" s="346">
        <v>0</v>
      </c>
      <c r="AF580" s="347">
        <v>0</v>
      </c>
      <c r="AG580" s="360"/>
      <c r="AH580" s="346">
        <v>0</v>
      </c>
      <c r="AI580" s="346"/>
      <c r="AJ580" s="540">
        <f>183007269+34882286+138716570+80000000-8632286+61401533</f>
        <v>489375372</v>
      </c>
      <c r="AK580" s="346">
        <f>Q580+R580+S580+T580+U580+V580+W580+X580+Y580+Z580+AA580+AB580+AC580+AD580+AE580+AF580+AG580+AH580+AI580+AJ580</f>
        <v>595411921.06999993</v>
      </c>
    </row>
    <row r="581" spans="1:37" ht="65.25" customHeight="1" x14ac:dyDescent="0.2">
      <c r="A581" s="167"/>
      <c r="B581" s="16"/>
      <c r="C581" s="663" t="s">
        <v>673</v>
      </c>
      <c r="D581" s="665" t="s">
        <v>691</v>
      </c>
      <c r="E581" s="673" t="s">
        <v>692</v>
      </c>
      <c r="F581" s="220">
        <v>0.8</v>
      </c>
      <c r="G581" s="23"/>
      <c r="H581" s="663">
        <v>145</v>
      </c>
      <c r="I581" s="665" t="s">
        <v>693</v>
      </c>
      <c r="J581" s="81" t="s">
        <v>32</v>
      </c>
      <c r="K581" s="121">
        <v>1</v>
      </c>
      <c r="L581" s="745"/>
      <c r="M581" s="782"/>
      <c r="N581" s="783"/>
      <c r="O581" s="773"/>
      <c r="P581" s="673" t="s">
        <v>41</v>
      </c>
      <c r="Q581" s="346">
        <v>0</v>
      </c>
      <c r="R581" s="346">
        <v>0</v>
      </c>
      <c r="S581" s="346">
        <v>0</v>
      </c>
      <c r="T581" s="346">
        <v>0</v>
      </c>
      <c r="U581" s="346">
        <v>0</v>
      </c>
      <c r="V581" s="346">
        <v>0</v>
      </c>
      <c r="W581" s="346">
        <v>0</v>
      </c>
      <c r="X581" s="540">
        <f>80000000+33834562-3260000</f>
        <v>110574562</v>
      </c>
      <c r="Y581" s="347"/>
      <c r="Z581" s="346">
        <v>0</v>
      </c>
      <c r="AA581" s="346">
        <v>0</v>
      </c>
      <c r="AB581" s="346"/>
      <c r="AC581" s="346"/>
      <c r="AD581" s="346">
        <v>0</v>
      </c>
      <c r="AE581" s="346">
        <v>0</v>
      </c>
      <c r="AF581" s="347">
        <v>0</v>
      </c>
      <c r="AG581" s="360"/>
      <c r="AH581" s="346">
        <v>0</v>
      </c>
      <c r="AI581" s="348"/>
      <c r="AJ581" s="348">
        <v>0</v>
      </c>
      <c r="AK581" s="346">
        <f>Q581+R581+S581+T581+U581+V581+W581+X581+Y581+Z581+AA581+AB581+AC581+AD581+AE581+AF581+AG581+AH581+AI581+AJ581</f>
        <v>110574562</v>
      </c>
    </row>
    <row r="582" spans="1:37" ht="34.5" customHeight="1" x14ac:dyDescent="0.2">
      <c r="A582" s="167"/>
      <c r="B582" s="16"/>
      <c r="C582" s="648" t="s">
        <v>673</v>
      </c>
      <c r="D582" s="642" t="s">
        <v>694</v>
      </c>
      <c r="E582" s="667">
        <v>0.68</v>
      </c>
      <c r="F582" s="667">
        <v>0.73</v>
      </c>
      <c r="G582" s="65"/>
      <c r="H582" s="663">
        <v>146</v>
      </c>
      <c r="I582" s="665" t="s">
        <v>695</v>
      </c>
      <c r="J582" s="673" t="s">
        <v>32</v>
      </c>
      <c r="K582" s="80">
        <v>1</v>
      </c>
      <c r="L582" s="20">
        <v>2017003630123</v>
      </c>
      <c r="M582" s="665" t="s">
        <v>641</v>
      </c>
      <c r="N582" s="649" t="s">
        <v>696</v>
      </c>
      <c r="O582" s="665" t="s">
        <v>915</v>
      </c>
      <c r="P582" s="673" t="s">
        <v>41</v>
      </c>
      <c r="Q582" s="346">
        <v>0</v>
      </c>
      <c r="R582" s="346">
        <v>0</v>
      </c>
      <c r="S582" s="346">
        <v>0</v>
      </c>
      <c r="T582" s="346">
        <v>0</v>
      </c>
      <c r="U582" s="346">
        <v>0</v>
      </c>
      <c r="V582" s="346">
        <v>0</v>
      </c>
      <c r="W582" s="346">
        <v>0</v>
      </c>
      <c r="X582" s="346">
        <v>50000000</v>
      </c>
      <c r="Y582" s="347"/>
      <c r="Z582" s="346">
        <v>6000000</v>
      </c>
      <c r="AA582" s="346"/>
      <c r="AB582" s="346"/>
      <c r="AC582" s="346"/>
      <c r="AD582" s="346">
        <v>0</v>
      </c>
      <c r="AE582" s="346">
        <v>0</v>
      </c>
      <c r="AF582" s="347">
        <v>0</v>
      </c>
      <c r="AG582" s="360"/>
      <c r="AH582" s="346">
        <v>0</v>
      </c>
      <c r="AI582" s="348"/>
      <c r="AJ582" s="348">
        <v>174374138</v>
      </c>
      <c r="AK582" s="346">
        <f>Q582+R582+S582+T582+U582+V582+W582+X582+Y582+Z582+AA582+AB582+AC582+AD582+AE582+AF582+AG582+AH582+AI582+AJ582</f>
        <v>230374138</v>
      </c>
    </row>
    <row r="583" spans="1:37" ht="30" customHeight="1" x14ac:dyDescent="0.2">
      <c r="A583" s="167"/>
      <c r="B583" s="16"/>
      <c r="C583" s="649"/>
      <c r="D583" s="644"/>
      <c r="E583" s="649"/>
      <c r="F583" s="649"/>
      <c r="G583" s="30"/>
      <c r="H583" s="31"/>
      <c r="I583" s="30"/>
      <c r="J583" s="31"/>
      <c r="K583" s="104"/>
      <c r="L583" s="104"/>
      <c r="M583" s="30"/>
      <c r="N583" s="31"/>
      <c r="O583" s="30"/>
      <c r="P583" s="31"/>
      <c r="Q583" s="355">
        <f t="shared" ref="Q583:AK583" si="138">SUM(Q578:Q582)</f>
        <v>0</v>
      </c>
      <c r="R583" s="355">
        <f t="shared" si="138"/>
        <v>0</v>
      </c>
      <c r="S583" s="355">
        <f t="shared" si="138"/>
        <v>0</v>
      </c>
      <c r="T583" s="355">
        <f t="shared" si="138"/>
        <v>0</v>
      </c>
      <c r="U583" s="355">
        <f t="shared" si="138"/>
        <v>0</v>
      </c>
      <c r="V583" s="355">
        <f t="shared" si="138"/>
        <v>0</v>
      </c>
      <c r="W583" s="355">
        <f t="shared" si="138"/>
        <v>0</v>
      </c>
      <c r="X583" s="355">
        <f t="shared" si="138"/>
        <v>381611111.06999999</v>
      </c>
      <c r="Y583" s="355">
        <f t="shared" si="138"/>
        <v>0</v>
      </c>
      <c r="Z583" s="355">
        <f t="shared" si="138"/>
        <v>33000000</v>
      </c>
      <c r="AA583" s="355">
        <f t="shared" si="138"/>
        <v>0</v>
      </c>
      <c r="AB583" s="355">
        <f t="shared" si="138"/>
        <v>0</v>
      </c>
      <c r="AC583" s="355">
        <f t="shared" si="138"/>
        <v>0</v>
      </c>
      <c r="AD583" s="355">
        <f t="shared" si="138"/>
        <v>0</v>
      </c>
      <c r="AE583" s="355">
        <f t="shared" si="138"/>
        <v>0</v>
      </c>
      <c r="AF583" s="355">
        <f t="shared" si="138"/>
        <v>0</v>
      </c>
      <c r="AG583" s="355">
        <f t="shared" si="138"/>
        <v>0</v>
      </c>
      <c r="AH583" s="355">
        <f t="shared" si="138"/>
        <v>0</v>
      </c>
      <c r="AI583" s="355">
        <f t="shared" si="138"/>
        <v>0</v>
      </c>
      <c r="AJ583" s="355">
        <f t="shared" si="138"/>
        <v>663749510</v>
      </c>
      <c r="AK583" s="355">
        <f t="shared" si="138"/>
        <v>1078360621.0699999</v>
      </c>
    </row>
    <row r="584" spans="1:37" ht="30" customHeight="1" x14ac:dyDescent="0.2">
      <c r="A584" s="167"/>
      <c r="B584" s="16"/>
      <c r="C584" s="116"/>
      <c r="D584" s="44"/>
      <c r="E584" s="116"/>
      <c r="F584" s="116"/>
      <c r="G584" s="44"/>
      <c r="H584" s="116"/>
      <c r="I584" s="44"/>
      <c r="J584" s="116"/>
      <c r="K584" s="117"/>
      <c r="L584" s="229"/>
      <c r="M584" s="74"/>
      <c r="N584" s="345"/>
      <c r="O584" s="74"/>
      <c r="P584" s="116"/>
      <c r="Q584" s="350"/>
      <c r="R584" s="350"/>
      <c r="S584" s="350"/>
      <c r="T584" s="350"/>
      <c r="U584" s="350"/>
      <c r="V584" s="350"/>
      <c r="W584" s="350"/>
      <c r="X584" s="350"/>
      <c r="Y584" s="350"/>
      <c r="Z584" s="350"/>
      <c r="AA584" s="350"/>
      <c r="AB584" s="350"/>
      <c r="AC584" s="350"/>
      <c r="AD584" s="350"/>
      <c r="AE584" s="350"/>
      <c r="AF584" s="352"/>
      <c r="AG584" s="353"/>
      <c r="AH584" s="350"/>
      <c r="AI584" s="350"/>
      <c r="AJ584" s="351"/>
      <c r="AK584" s="354"/>
    </row>
    <row r="585" spans="1:37" ht="30" customHeight="1" x14ac:dyDescent="0.2">
      <c r="A585" s="167"/>
      <c r="B585" s="16"/>
      <c r="C585" s="648"/>
      <c r="D585" s="642"/>
      <c r="E585" s="648"/>
      <c r="F585" s="648"/>
      <c r="G585" s="181">
        <v>41</v>
      </c>
      <c r="H585" s="52" t="s">
        <v>697</v>
      </c>
      <c r="I585" s="52"/>
      <c r="J585" s="52"/>
      <c r="K585" s="96"/>
      <c r="L585" s="96"/>
      <c r="M585" s="581"/>
      <c r="N585" s="136"/>
      <c r="O585" s="52"/>
      <c r="P585" s="52"/>
      <c r="Q585" s="231"/>
      <c r="R585" s="231"/>
      <c r="S585" s="231"/>
      <c r="T585" s="231"/>
      <c r="U585" s="231"/>
      <c r="V585" s="231"/>
      <c r="W585" s="231"/>
      <c r="X585" s="231"/>
      <c r="Y585" s="231"/>
      <c r="Z585" s="231"/>
      <c r="AA585" s="231"/>
      <c r="AB585" s="231"/>
      <c r="AC585" s="231"/>
      <c r="AD585" s="231"/>
      <c r="AE585" s="231"/>
      <c r="AF585" s="359"/>
      <c r="AG585" s="231"/>
      <c r="AH585" s="231"/>
      <c r="AI585" s="231"/>
      <c r="AJ585" s="231"/>
      <c r="AK585" s="233"/>
    </row>
    <row r="586" spans="1:37" ht="56.25" customHeight="1" x14ac:dyDescent="0.2">
      <c r="A586" s="167"/>
      <c r="B586" s="16"/>
      <c r="C586" s="732">
        <v>28</v>
      </c>
      <c r="D586" s="735" t="s">
        <v>698</v>
      </c>
      <c r="E586" s="752">
        <v>0.5</v>
      </c>
      <c r="F586" s="752">
        <v>1</v>
      </c>
      <c r="G586" s="731"/>
      <c r="H586" s="663">
        <v>147</v>
      </c>
      <c r="I586" s="665" t="s">
        <v>699</v>
      </c>
      <c r="J586" s="673">
        <v>14</v>
      </c>
      <c r="K586" s="80">
        <v>14</v>
      </c>
      <c r="L586" s="743">
        <v>2017003630077</v>
      </c>
      <c r="M586" s="734" t="s">
        <v>641</v>
      </c>
      <c r="N586" s="731" t="s">
        <v>700</v>
      </c>
      <c r="O586" s="734" t="s">
        <v>916</v>
      </c>
      <c r="P586" s="673" t="s">
        <v>41</v>
      </c>
      <c r="Q586" s="346">
        <v>0</v>
      </c>
      <c r="R586" s="346">
        <v>0</v>
      </c>
      <c r="S586" s="346">
        <v>0</v>
      </c>
      <c r="T586" s="346">
        <v>0</v>
      </c>
      <c r="U586" s="346">
        <v>0</v>
      </c>
      <c r="V586" s="346">
        <v>0</v>
      </c>
      <c r="W586" s="346">
        <v>0</v>
      </c>
      <c r="X586" s="346">
        <v>10000000</v>
      </c>
      <c r="Y586" s="347"/>
      <c r="Z586" s="346">
        <v>0</v>
      </c>
      <c r="AA586" s="346">
        <v>0</v>
      </c>
      <c r="AB586" s="346"/>
      <c r="AC586" s="346"/>
      <c r="AD586" s="346">
        <v>0</v>
      </c>
      <c r="AE586" s="346">
        <v>0</v>
      </c>
      <c r="AF586" s="347">
        <v>0</v>
      </c>
      <c r="AG586" s="360"/>
      <c r="AH586" s="346">
        <v>0</v>
      </c>
      <c r="AI586" s="348"/>
      <c r="AJ586" s="348"/>
      <c r="AK586" s="346">
        <f>Q586+R586+S586+T586+U586+V586+W586+X586+Y586+Z586+AA586+AB586+AC586+AD586+AE586+AF586+AG586+AH586+AI586+AJ586</f>
        <v>10000000</v>
      </c>
    </row>
    <row r="587" spans="1:37" ht="56.25" customHeight="1" x14ac:dyDescent="0.2">
      <c r="A587" s="167"/>
      <c r="B587" s="16"/>
      <c r="C587" s="732"/>
      <c r="D587" s="735"/>
      <c r="E587" s="752"/>
      <c r="F587" s="752"/>
      <c r="G587" s="733"/>
      <c r="H587" s="663">
        <v>148</v>
      </c>
      <c r="I587" s="665" t="s">
        <v>701</v>
      </c>
      <c r="J587" s="673" t="s">
        <v>32</v>
      </c>
      <c r="K587" s="80">
        <v>11</v>
      </c>
      <c r="L587" s="745"/>
      <c r="M587" s="736"/>
      <c r="N587" s="733"/>
      <c r="O587" s="736"/>
      <c r="P587" s="673" t="s">
        <v>41</v>
      </c>
      <c r="Q587" s="346">
        <v>0</v>
      </c>
      <c r="R587" s="346">
        <v>0</v>
      </c>
      <c r="S587" s="346">
        <v>0</v>
      </c>
      <c r="T587" s="346">
        <v>0</v>
      </c>
      <c r="U587" s="346">
        <v>0</v>
      </c>
      <c r="V587" s="346">
        <v>0</v>
      </c>
      <c r="W587" s="346">
        <v>0</v>
      </c>
      <c r="X587" s="346">
        <v>10000000</v>
      </c>
      <c r="Y587" s="347"/>
      <c r="Z587" s="346">
        <v>0</v>
      </c>
      <c r="AA587" s="346">
        <v>0</v>
      </c>
      <c r="AB587" s="346"/>
      <c r="AC587" s="346"/>
      <c r="AD587" s="346">
        <v>0</v>
      </c>
      <c r="AE587" s="346">
        <v>0</v>
      </c>
      <c r="AF587" s="347">
        <v>0</v>
      </c>
      <c r="AG587" s="360"/>
      <c r="AH587" s="346">
        <v>0</v>
      </c>
      <c r="AI587" s="348"/>
      <c r="AJ587" s="348"/>
      <c r="AK587" s="346">
        <f>Q587+R587+S587+T587+U587+V587+W587+X587+Y587+Z587+AA587+AB587+AC587+AD587+AE587+AF587+AG587+AH587+AI587+AJ587</f>
        <v>10000000</v>
      </c>
    </row>
    <row r="588" spans="1:37" ht="30" customHeight="1" x14ac:dyDescent="0.2">
      <c r="A588" s="167"/>
      <c r="B588" s="16"/>
      <c r="C588" s="649"/>
      <c r="D588" s="644"/>
      <c r="E588" s="649"/>
      <c r="F588" s="649"/>
      <c r="G588" s="30"/>
      <c r="H588" s="31"/>
      <c r="I588" s="30"/>
      <c r="J588" s="31"/>
      <c r="K588" s="104"/>
      <c r="L588" s="104"/>
      <c r="M588" s="30"/>
      <c r="N588" s="31"/>
      <c r="O588" s="30"/>
      <c r="P588" s="31"/>
      <c r="Q588" s="355">
        <f t="shared" ref="Q588:AK588" si="139">SUM(Q586:Q587)</f>
        <v>0</v>
      </c>
      <c r="R588" s="355">
        <f t="shared" si="139"/>
        <v>0</v>
      </c>
      <c r="S588" s="355">
        <f t="shared" si="139"/>
        <v>0</v>
      </c>
      <c r="T588" s="355">
        <f t="shared" si="139"/>
        <v>0</v>
      </c>
      <c r="U588" s="355">
        <f t="shared" si="139"/>
        <v>0</v>
      </c>
      <c r="V588" s="355">
        <f t="shared" si="139"/>
        <v>0</v>
      </c>
      <c r="W588" s="355">
        <f t="shared" si="139"/>
        <v>0</v>
      </c>
      <c r="X588" s="355">
        <f t="shared" si="139"/>
        <v>20000000</v>
      </c>
      <c r="Y588" s="355">
        <f t="shared" si="139"/>
        <v>0</v>
      </c>
      <c r="Z588" s="355">
        <f t="shared" si="139"/>
        <v>0</v>
      </c>
      <c r="AA588" s="355">
        <f t="shared" si="139"/>
        <v>0</v>
      </c>
      <c r="AB588" s="355">
        <f t="shared" si="139"/>
        <v>0</v>
      </c>
      <c r="AC588" s="355">
        <f t="shared" si="139"/>
        <v>0</v>
      </c>
      <c r="AD588" s="355">
        <f t="shared" si="139"/>
        <v>0</v>
      </c>
      <c r="AE588" s="355">
        <f t="shared" si="139"/>
        <v>0</v>
      </c>
      <c r="AF588" s="355">
        <f t="shared" si="139"/>
        <v>0</v>
      </c>
      <c r="AG588" s="355">
        <f t="shared" si="139"/>
        <v>0</v>
      </c>
      <c r="AH588" s="355">
        <f t="shared" si="139"/>
        <v>0</v>
      </c>
      <c r="AI588" s="355">
        <f t="shared" si="139"/>
        <v>0</v>
      </c>
      <c r="AJ588" s="355">
        <f t="shared" si="139"/>
        <v>0</v>
      </c>
      <c r="AK588" s="355">
        <f t="shared" si="139"/>
        <v>20000000</v>
      </c>
    </row>
    <row r="589" spans="1:37" ht="30" customHeight="1" x14ac:dyDescent="0.2">
      <c r="A589" s="167"/>
      <c r="B589" s="16"/>
      <c r="C589" s="116"/>
      <c r="D589" s="44"/>
      <c r="E589" s="116"/>
      <c r="F589" s="116"/>
      <c r="G589" s="44"/>
      <c r="H589" s="116"/>
      <c r="I589" s="44"/>
      <c r="J589" s="116"/>
      <c r="K589" s="117"/>
      <c r="L589" s="229"/>
      <c r="M589" s="74"/>
      <c r="N589" s="345"/>
      <c r="O589" s="74"/>
      <c r="P589" s="116"/>
      <c r="Q589" s="350"/>
      <c r="R589" s="350"/>
      <c r="S589" s="350"/>
      <c r="T589" s="350"/>
      <c r="U589" s="350"/>
      <c r="V589" s="350"/>
      <c r="W589" s="350"/>
      <c r="X589" s="350"/>
      <c r="Y589" s="350"/>
      <c r="Z589" s="350"/>
      <c r="AA589" s="350"/>
      <c r="AB589" s="350"/>
      <c r="AC589" s="350"/>
      <c r="AD589" s="350"/>
      <c r="AE589" s="350"/>
      <c r="AF589" s="352"/>
      <c r="AG589" s="353"/>
      <c r="AH589" s="350"/>
      <c r="AI589" s="350"/>
      <c r="AJ589" s="350"/>
      <c r="AK589" s="354"/>
    </row>
    <row r="590" spans="1:37" ht="30" customHeight="1" x14ac:dyDescent="0.2">
      <c r="A590" s="167"/>
      <c r="B590" s="16"/>
      <c r="C590" s="648"/>
      <c r="D590" s="642"/>
      <c r="E590" s="648"/>
      <c r="F590" s="648"/>
      <c r="G590" s="181">
        <v>42</v>
      </c>
      <c r="H590" s="52" t="s">
        <v>702</v>
      </c>
      <c r="I590" s="52"/>
      <c r="J590" s="52"/>
      <c r="K590" s="96"/>
      <c r="L590" s="96"/>
      <c r="M590" s="581"/>
      <c r="N590" s="136"/>
      <c r="O590" s="52"/>
      <c r="P590" s="52"/>
      <c r="Q590" s="231"/>
      <c r="R590" s="231"/>
      <c r="S590" s="231"/>
      <c r="T590" s="231"/>
      <c r="U590" s="231"/>
      <c r="V590" s="231"/>
      <c r="W590" s="231"/>
      <c r="X590" s="231"/>
      <c r="Y590" s="231"/>
      <c r="Z590" s="231"/>
      <c r="AA590" s="231"/>
      <c r="AB590" s="231"/>
      <c r="AC590" s="231"/>
      <c r="AD590" s="231"/>
      <c r="AE590" s="231"/>
      <c r="AF590" s="359"/>
      <c r="AG590" s="231"/>
      <c r="AH590" s="231"/>
      <c r="AI590" s="231"/>
      <c r="AJ590" s="231"/>
      <c r="AK590" s="233"/>
    </row>
    <row r="591" spans="1:37" ht="53.25" customHeight="1" x14ac:dyDescent="0.2">
      <c r="A591" s="167"/>
      <c r="B591" s="16"/>
      <c r="C591" s="638" t="s">
        <v>673</v>
      </c>
      <c r="D591" s="23" t="s">
        <v>703</v>
      </c>
      <c r="E591" s="638" t="s">
        <v>704</v>
      </c>
      <c r="F591" s="638" t="s">
        <v>705</v>
      </c>
      <c r="G591" s="784"/>
      <c r="H591" s="18">
        <v>149</v>
      </c>
      <c r="I591" s="665" t="s">
        <v>706</v>
      </c>
      <c r="J591" s="673" t="s">
        <v>32</v>
      </c>
      <c r="K591" s="80">
        <v>8</v>
      </c>
      <c r="L591" s="743">
        <v>2017003630100</v>
      </c>
      <c r="M591" s="734" t="s">
        <v>641</v>
      </c>
      <c r="N591" s="731" t="s">
        <v>707</v>
      </c>
      <c r="O591" s="735" t="s">
        <v>917</v>
      </c>
      <c r="P591" s="673" t="s">
        <v>41</v>
      </c>
      <c r="Q591" s="346"/>
      <c r="R591" s="346"/>
      <c r="S591" s="346"/>
      <c r="T591" s="346"/>
      <c r="U591" s="346"/>
      <c r="V591" s="346"/>
      <c r="W591" s="346"/>
      <c r="X591" s="346">
        <v>30000000</v>
      </c>
      <c r="Y591" s="347"/>
      <c r="Z591" s="346">
        <v>3000000</v>
      </c>
      <c r="AA591" s="346"/>
      <c r="AB591" s="346"/>
      <c r="AC591" s="346"/>
      <c r="AD591" s="346"/>
      <c r="AE591" s="346"/>
      <c r="AF591" s="347"/>
      <c r="AG591" s="360"/>
      <c r="AH591" s="346"/>
      <c r="AI591" s="348"/>
      <c r="AJ591" s="348"/>
      <c r="AK591" s="346">
        <f>Q591+R591+S591+T591+U591+V591+W591+X591+Y591+Z591+AA591+AB591+AC591+AD591+AE591+AF591+AG591+AH591+AI591+AJ591</f>
        <v>33000000</v>
      </c>
    </row>
    <row r="592" spans="1:37" ht="53.25" customHeight="1" x14ac:dyDescent="0.2">
      <c r="A592" s="167"/>
      <c r="B592" s="16"/>
      <c r="C592" s="638">
        <v>28</v>
      </c>
      <c r="D592" s="23" t="s">
        <v>708</v>
      </c>
      <c r="E592" s="647">
        <v>0.5</v>
      </c>
      <c r="F592" s="647">
        <v>1</v>
      </c>
      <c r="G592" s="785"/>
      <c r="H592" s="18">
        <v>150</v>
      </c>
      <c r="I592" s="665" t="s">
        <v>709</v>
      </c>
      <c r="J592" s="673">
        <v>0</v>
      </c>
      <c r="K592" s="80">
        <v>14</v>
      </c>
      <c r="L592" s="745"/>
      <c r="M592" s="736"/>
      <c r="N592" s="733"/>
      <c r="O592" s="736"/>
      <c r="P592" s="673" t="s">
        <v>41</v>
      </c>
      <c r="Q592" s="346">
        <v>0</v>
      </c>
      <c r="R592" s="346">
        <v>0</v>
      </c>
      <c r="S592" s="346">
        <v>0</v>
      </c>
      <c r="T592" s="346">
        <v>0</v>
      </c>
      <c r="U592" s="346">
        <v>0</v>
      </c>
      <c r="V592" s="346">
        <v>0</v>
      </c>
      <c r="W592" s="346">
        <v>0</v>
      </c>
      <c r="X592" s="346">
        <v>30000000</v>
      </c>
      <c r="Y592" s="347"/>
      <c r="Z592" s="346">
        <v>0</v>
      </c>
      <c r="AA592" s="346">
        <v>0</v>
      </c>
      <c r="AB592" s="346"/>
      <c r="AC592" s="346"/>
      <c r="AD592" s="346">
        <v>0</v>
      </c>
      <c r="AE592" s="346">
        <v>0</v>
      </c>
      <c r="AF592" s="347">
        <v>0</v>
      </c>
      <c r="AG592" s="360"/>
      <c r="AH592" s="346">
        <v>0</v>
      </c>
      <c r="AI592" s="348"/>
      <c r="AJ592" s="348"/>
      <c r="AK592" s="346">
        <f>Q592+R592+S592+T592+U592+V592+W592+X592+Y592+Z592+AA592+AB592+AC592+AD592+AE592+AF592+AG592+AH592+AI592+AJ592</f>
        <v>30000000</v>
      </c>
    </row>
    <row r="593" spans="1:37" ht="30" customHeight="1" x14ac:dyDescent="0.2">
      <c r="A593" s="167"/>
      <c r="B593" s="16"/>
      <c r="C593" s="649"/>
      <c r="D593" s="644"/>
      <c r="E593" s="649"/>
      <c r="F593" s="649"/>
      <c r="G593" s="151"/>
      <c r="H593" s="32"/>
      <c r="I593" s="30"/>
      <c r="J593" s="31"/>
      <c r="K593" s="104"/>
      <c r="L593" s="104"/>
      <c r="M593" s="30"/>
      <c r="N593" s="31"/>
      <c r="O593" s="30"/>
      <c r="P593" s="31"/>
      <c r="Q593" s="355">
        <f t="shared" ref="Q593:AK593" si="140">SUM(Q591:Q592)</f>
        <v>0</v>
      </c>
      <c r="R593" s="355">
        <f t="shared" si="140"/>
        <v>0</v>
      </c>
      <c r="S593" s="355">
        <f t="shared" si="140"/>
        <v>0</v>
      </c>
      <c r="T593" s="355">
        <f t="shared" si="140"/>
        <v>0</v>
      </c>
      <c r="U593" s="355">
        <f t="shared" si="140"/>
        <v>0</v>
      </c>
      <c r="V593" s="355">
        <f t="shared" si="140"/>
        <v>0</v>
      </c>
      <c r="W593" s="355">
        <f t="shared" si="140"/>
        <v>0</v>
      </c>
      <c r="X593" s="355">
        <f t="shared" si="140"/>
        <v>60000000</v>
      </c>
      <c r="Y593" s="355">
        <f t="shared" si="140"/>
        <v>0</v>
      </c>
      <c r="Z593" s="355">
        <f t="shared" si="140"/>
        <v>3000000</v>
      </c>
      <c r="AA593" s="355">
        <f t="shared" si="140"/>
        <v>0</v>
      </c>
      <c r="AB593" s="355">
        <f t="shared" si="140"/>
        <v>0</v>
      </c>
      <c r="AC593" s="355">
        <f t="shared" si="140"/>
        <v>0</v>
      </c>
      <c r="AD593" s="355">
        <f t="shared" si="140"/>
        <v>0</v>
      </c>
      <c r="AE593" s="355">
        <f t="shared" si="140"/>
        <v>0</v>
      </c>
      <c r="AF593" s="355">
        <f t="shared" si="140"/>
        <v>0</v>
      </c>
      <c r="AG593" s="355">
        <f t="shared" si="140"/>
        <v>0</v>
      </c>
      <c r="AH593" s="355">
        <f t="shared" si="140"/>
        <v>0</v>
      </c>
      <c r="AI593" s="355">
        <f t="shared" si="140"/>
        <v>0</v>
      </c>
      <c r="AJ593" s="355">
        <f t="shared" si="140"/>
        <v>0</v>
      </c>
      <c r="AK593" s="355">
        <f t="shared" si="140"/>
        <v>63000000</v>
      </c>
    </row>
    <row r="594" spans="1:37" ht="30" customHeight="1" x14ac:dyDescent="0.2">
      <c r="A594" s="167"/>
      <c r="B594" s="16"/>
      <c r="C594" s="116"/>
      <c r="D594" s="44"/>
      <c r="E594" s="116"/>
      <c r="F594" s="116"/>
      <c r="G594" s="44"/>
      <c r="H594" s="116"/>
      <c r="I594" s="44"/>
      <c r="J594" s="116"/>
      <c r="K594" s="117"/>
      <c r="L594" s="229"/>
      <c r="M594" s="74"/>
      <c r="N594" s="345"/>
      <c r="O594" s="74"/>
      <c r="P594" s="116"/>
      <c r="Q594" s="350"/>
      <c r="R594" s="350"/>
      <c r="S594" s="350"/>
      <c r="T594" s="350"/>
      <c r="U594" s="350"/>
      <c r="V594" s="350"/>
      <c r="W594" s="350"/>
      <c r="X594" s="350"/>
      <c r="Y594" s="350"/>
      <c r="Z594" s="350"/>
      <c r="AA594" s="350"/>
      <c r="AB594" s="350"/>
      <c r="AC594" s="350"/>
      <c r="AD594" s="350"/>
      <c r="AE594" s="350"/>
      <c r="AF594" s="352"/>
      <c r="AG594" s="353"/>
      <c r="AH594" s="350"/>
      <c r="AI594" s="350"/>
      <c r="AJ594" s="351"/>
      <c r="AK594" s="354"/>
    </row>
    <row r="595" spans="1:37" ht="30" customHeight="1" x14ac:dyDescent="0.2">
      <c r="A595" s="167"/>
      <c r="B595" s="167"/>
      <c r="C595" s="648"/>
      <c r="D595" s="642"/>
      <c r="E595" s="648"/>
      <c r="F595" s="648"/>
      <c r="G595" s="181">
        <v>43</v>
      </c>
      <c r="H595" s="52" t="s">
        <v>710</v>
      </c>
      <c r="I595" s="52"/>
      <c r="J595" s="52"/>
      <c r="K595" s="96"/>
      <c r="L595" s="96"/>
      <c r="M595" s="581"/>
      <c r="N595" s="136"/>
      <c r="O595" s="52"/>
      <c r="P595" s="52"/>
      <c r="Q595" s="231"/>
      <c r="R595" s="231"/>
      <c r="S595" s="231"/>
      <c r="T595" s="231"/>
      <c r="U595" s="231"/>
      <c r="V595" s="231"/>
      <c r="W595" s="231"/>
      <c r="X595" s="231"/>
      <c r="Y595" s="231"/>
      <c r="Z595" s="231"/>
      <c r="AA595" s="231"/>
      <c r="AB595" s="231"/>
      <c r="AC595" s="231"/>
      <c r="AD595" s="231"/>
      <c r="AE595" s="231"/>
      <c r="AF595" s="359"/>
      <c r="AG595" s="231"/>
      <c r="AH595" s="231"/>
      <c r="AI595" s="231"/>
      <c r="AJ595" s="231"/>
      <c r="AK595" s="233"/>
    </row>
    <row r="596" spans="1:37" ht="69" customHeight="1" x14ac:dyDescent="0.2">
      <c r="A596" s="167"/>
      <c r="B596" s="167"/>
      <c r="C596" s="638" t="s">
        <v>673</v>
      </c>
      <c r="D596" s="732" t="s">
        <v>711</v>
      </c>
      <c r="E596" s="752">
        <v>0</v>
      </c>
      <c r="F596" s="752">
        <v>1</v>
      </c>
      <c r="G596" s="757"/>
      <c r="H596" s="673">
        <v>151</v>
      </c>
      <c r="I596" s="665" t="s">
        <v>712</v>
      </c>
      <c r="J596" s="673" t="s">
        <v>32</v>
      </c>
      <c r="K596" s="80">
        <v>12</v>
      </c>
      <c r="L596" s="743">
        <v>2017003630068</v>
      </c>
      <c r="M596" s="734" t="s">
        <v>641</v>
      </c>
      <c r="N596" s="731" t="s">
        <v>713</v>
      </c>
      <c r="O596" s="731" t="s">
        <v>918</v>
      </c>
      <c r="P596" s="132" t="s">
        <v>41</v>
      </c>
      <c r="Q596" s="346">
        <v>0</v>
      </c>
      <c r="R596" s="346">
        <v>0</v>
      </c>
      <c r="S596" s="346">
        <v>0</v>
      </c>
      <c r="T596" s="346">
        <v>0</v>
      </c>
      <c r="U596" s="346">
        <v>0</v>
      </c>
      <c r="V596" s="346">
        <v>0</v>
      </c>
      <c r="W596" s="346">
        <v>0</v>
      </c>
      <c r="X596" s="425">
        <f>42240000+18676711</f>
        <v>60916711</v>
      </c>
      <c r="Y596" s="425"/>
      <c r="Z596" s="346">
        <v>10260000</v>
      </c>
      <c r="AA596" s="346"/>
      <c r="AB596" s="346"/>
      <c r="AC596" s="346"/>
      <c r="AD596" s="346">
        <v>0</v>
      </c>
      <c r="AE596" s="346"/>
      <c r="AF596" s="347">
        <v>60000000</v>
      </c>
      <c r="AG596" s="347"/>
      <c r="AH596" s="346">
        <v>0</v>
      </c>
      <c r="AI596" s="346"/>
      <c r="AJ596" s="346"/>
      <c r="AK596" s="346">
        <f>Q596+R596+S596+T596+U596+V596+W596+X596+Y596+Z596+AA596+AB596+AC596+AD596+AE596+AF596+AG596+AH596+AI596+AJ596</f>
        <v>131176711</v>
      </c>
    </row>
    <row r="597" spans="1:37" ht="48.75" customHeight="1" x14ac:dyDescent="0.2">
      <c r="A597" s="167"/>
      <c r="B597" s="167"/>
      <c r="C597" s="638"/>
      <c r="D597" s="732"/>
      <c r="E597" s="752"/>
      <c r="F597" s="752"/>
      <c r="G597" s="758"/>
      <c r="H597" s="673">
        <v>152</v>
      </c>
      <c r="I597" s="665" t="s">
        <v>714</v>
      </c>
      <c r="J597" s="673" t="s">
        <v>32</v>
      </c>
      <c r="K597" s="80">
        <v>1</v>
      </c>
      <c r="L597" s="744"/>
      <c r="M597" s="735"/>
      <c r="N597" s="732"/>
      <c r="O597" s="732"/>
      <c r="P597" s="132" t="s">
        <v>41</v>
      </c>
      <c r="Q597" s="346">
        <v>0</v>
      </c>
      <c r="R597" s="346">
        <v>0</v>
      </c>
      <c r="S597" s="346">
        <v>0</v>
      </c>
      <c r="T597" s="346">
        <v>0</v>
      </c>
      <c r="U597" s="346">
        <v>0</v>
      </c>
      <c r="V597" s="346">
        <v>0</v>
      </c>
      <c r="W597" s="346">
        <v>0</v>
      </c>
      <c r="X597" s="346">
        <v>127760000</v>
      </c>
      <c r="Y597" s="347"/>
      <c r="Z597" s="346">
        <v>34740000</v>
      </c>
      <c r="AA597" s="346"/>
      <c r="AB597" s="346"/>
      <c r="AC597" s="346"/>
      <c r="AD597" s="346">
        <v>0</v>
      </c>
      <c r="AE597" s="346"/>
      <c r="AF597" s="347"/>
      <c r="AG597" s="360"/>
      <c r="AH597" s="346">
        <v>0</v>
      </c>
      <c r="AI597" s="348"/>
      <c r="AJ597" s="348"/>
      <c r="AK597" s="346">
        <f>Q597+R597+S597+T597+U597+V597+W597+X597+Y597+Z597+AA597+AB597+AC597+AD597+AE597+AF597+AG597+AH597+AI597+AJ597</f>
        <v>162500000</v>
      </c>
    </row>
    <row r="598" spans="1:37" ht="48.75" customHeight="1" x14ac:dyDescent="0.2">
      <c r="A598" s="167"/>
      <c r="B598" s="167"/>
      <c r="C598" s="648" t="s">
        <v>673</v>
      </c>
      <c r="D598" s="642" t="s">
        <v>715</v>
      </c>
      <c r="E598" s="667">
        <v>0</v>
      </c>
      <c r="F598" s="667">
        <v>1</v>
      </c>
      <c r="G598" s="655"/>
      <c r="H598" s="673">
        <v>153</v>
      </c>
      <c r="I598" s="665" t="s">
        <v>716</v>
      </c>
      <c r="J598" s="673" t="s">
        <v>32</v>
      </c>
      <c r="K598" s="80">
        <v>150</v>
      </c>
      <c r="L598" s="745"/>
      <c r="M598" s="736"/>
      <c r="N598" s="733"/>
      <c r="O598" s="733"/>
      <c r="P598" s="132" t="s">
        <v>41</v>
      </c>
      <c r="Q598" s="346"/>
      <c r="R598" s="346"/>
      <c r="S598" s="346"/>
      <c r="T598" s="346"/>
      <c r="U598" s="346"/>
      <c r="V598" s="346"/>
      <c r="W598" s="346"/>
      <c r="X598" s="346">
        <v>0</v>
      </c>
      <c r="Y598" s="347"/>
      <c r="Z598" s="346"/>
      <c r="AA598" s="346">
        <f>723669712+500977580</f>
        <v>1224647292</v>
      </c>
      <c r="AB598" s="346"/>
      <c r="AC598" s="346"/>
      <c r="AD598" s="346"/>
      <c r="AE598" s="346"/>
      <c r="AF598" s="347"/>
      <c r="AG598" s="360"/>
      <c r="AH598" s="346"/>
      <c r="AI598" s="348"/>
      <c r="AJ598" s="348"/>
      <c r="AK598" s="346">
        <f>Q598+R598+S598+T598+U598+V598+W598+X598+Y598+Z598+AA598+AB598+AC598+AD598+AE598+AF598+AG598+AH598+AI598+AJ598</f>
        <v>1224647292</v>
      </c>
    </row>
    <row r="599" spans="1:37" ht="30" customHeight="1" x14ac:dyDescent="0.2">
      <c r="A599" s="167"/>
      <c r="B599" s="16"/>
      <c r="C599" s="649"/>
      <c r="D599" s="644"/>
      <c r="E599" s="649"/>
      <c r="F599" s="649"/>
      <c r="G599" s="30"/>
      <c r="H599" s="31"/>
      <c r="I599" s="30"/>
      <c r="J599" s="31"/>
      <c r="K599" s="82"/>
      <c r="L599" s="82"/>
      <c r="M599" s="151"/>
      <c r="N599" s="31"/>
      <c r="O599" s="30"/>
      <c r="P599" s="31"/>
      <c r="Q599" s="355">
        <f t="shared" ref="Q599:AJ599" si="141">SUM(Q596:Q598)</f>
        <v>0</v>
      </c>
      <c r="R599" s="355">
        <f t="shared" si="141"/>
        <v>0</v>
      </c>
      <c r="S599" s="355">
        <f t="shared" si="141"/>
        <v>0</v>
      </c>
      <c r="T599" s="355">
        <f t="shared" si="141"/>
        <v>0</v>
      </c>
      <c r="U599" s="355">
        <f t="shared" si="141"/>
        <v>0</v>
      </c>
      <c r="V599" s="355">
        <f t="shared" si="141"/>
        <v>0</v>
      </c>
      <c r="W599" s="355">
        <f t="shared" si="141"/>
        <v>0</v>
      </c>
      <c r="X599" s="355">
        <f t="shared" si="141"/>
        <v>188676711</v>
      </c>
      <c r="Y599" s="355">
        <f t="shared" si="141"/>
        <v>0</v>
      </c>
      <c r="Z599" s="355">
        <f t="shared" si="141"/>
        <v>45000000</v>
      </c>
      <c r="AA599" s="355">
        <f t="shared" si="141"/>
        <v>1224647292</v>
      </c>
      <c r="AB599" s="355">
        <f t="shared" si="141"/>
        <v>0</v>
      </c>
      <c r="AC599" s="355">
        <f t="shared" si="141"/>
        <v>0</v>
      </c>
      <c r="AD599" s="355">
        <f t="shared" si="141"/>
        <v>0</v>
      </c>
      <c r="AE599" s="355">
        <f t="shared" si="141"/>
        <v>0</v>
      </c>
      <c r="AF599" s="355">
        <f t="shared" si="141"/>
        <v>60000000</v>
      </c>
      <c r="AG599" s="355">
        <f t="shared" si="141"/>
        <v>0</v>
      </c>
      <c r="AH599" s="355">
        <f t="shared" si="141"/>
        <v>0</v>
      </c>
      <c r="AI599" s="355">
        <f t="shared" si="141"/>
        <v>0</v>
      </c>
      <c r="AJ599" s="355">
        <f t="shared" si="141"/>
        <v>0</v>
      </c>
      <c r="AK599" s="355">
        <f>SUM(AK596:AK598)</f>
        <v>1518324003</v>
      </c>
    </row>
    <row r="600" spans="1:37" ht="30" customHeight="1" x14ac:dyDescent="0.2">
      <c r="A600" s="167"/>
      <c r="B600" s="16"/>
      <c r="C600" s="116"/>
      <c r="D600" s="44"/>
      <c r="E600" s="116"/>
      <c r="F600" s="116"/>
      <c r="G600" s="44"/>
      <c r="H600" s="116"/>
      <c r="I600" s="44"/>
      <c r="J600" s="116"/>
      <c r="K600" s="117"/>
      <c r="L600" s="229"/>
      <c r="M600" s="74"/>
      <c r="N600" s="345"/>
      <c r="O600" s="74"/>
      <c r="P600" s="116"/>
      <c r="Q600" s="350"/>
      <c r="R600" s="350"/>
      <c r="S600" s="350"/>
      <c r="T600" s="350"/>
      <c r="U600" s="350"/>
      <c r="V600" s="350"/>
      <c r="W600" s="350"/>
      <c r="X600" s="350"/>
      <c r="Y600" s="350"/>
      <c r="Z600" s="350"/>
      <c r="AA600" s="350"/>
      <c r="AB600" s="350"/>
      <c r="AC600" s="350"/>
      <c r="AD600" s="350"/>
      <c r="AE600" s="350"/>
      <c r="AF600" s="352" t="s">
        <v>56</v>
      </c>
      <c r="AG600" s="353"/>
      <c r="AH600" s="350"/>
      <c r="AI600" s="350"/>
      <c r="AJ600" s="350"/>
      <c r="AK600" s="354"/>
    </row>
    <row r="601" spans="1:37" ht="30" customHeight="1" x14ac:dyDescent="0.2">
      <c r="A601" s="167"/>
      <c r="B601" s="16"/>
      <c r="C601" s="648"/>
      <c r="D601" s="642"/>
      <c r="E601" s="648"/>
      <c r="F601" s="648"/>
      <c r="G601" s="236">
        <v>44</v>
      </c>
      <c r="H601" s="52" t="s">
        <v>717</v>
      </c>
      <c r="I601" s="52"/>
      <c r="J601" s="52"/>
      <c r="K601" s="96"/>
      <c r="L601" s="96"/>
      <c r="M601" s="581"/>
      <c r="N601" s="136"/>
      <c r="O601" s="52"/>
      <c r="P601" s="52"/>
      <c r="Q601" s="231"/>
      <c r="R601" s="231"/>
      <c r="S601" s="231"/>
      <c r="T601" s="231"/>
      <c r="U601" s="231"/>
      <c r="V601" s="231"/>
      <c r="W601" s="231"/>
      <c r="X601" s="231"/>
      <c r="Y601" s="231"/>
      <c r="Z601" s="231"/>
      <c r="AA601" s="231"/>
      <c r="AB601" s="231"/>
      <c r="AC601" s="231"/>
      <c r="AD601" s="231"/>
      <c r="AE601" s="231"/>
      <c r="AF601" s="359"/>
      <c r="AG601" s="231"/>
      <c r="AH601" s="231"/>
      <c r="AI601" s="231"/>
      <c r="AJ601" s="231"/>
      <c r="AK601" s="233"/>
    </row>
    <row r="602" spans="1:37" ht="66.75" customHeight="1" x14ac:dyDescent="0.2">
      <c r="A602" s="167"/>
      <c r="B602" s="167"/>
      <c r="C602" s="649">
        <v>37</v>
      </c>
      <c r="D602" s="644" t="s">
        <v>634</v>
      </c>
      <c r="E602" s="649" t="s">
        <v>60</v>
      </c>
      <c r="F602" s="650">
        <v>0.6</v>
      </c>
      <c r="G602" s="111"/>
      <c r="H602" s="673">
        <v>154</v>
      </c>
      <c r="I602" s="665" t="s">
        <v>718</v>
      </c>
      <c r="J602" s="673" t="s">
        <v>32</v>
      </c>
      <c r="K602" s="19">
        <v>5</v>
      </c>
      <c r="L602" s="743">
        <v>2017003630107</v>
      </c>
      <c r="M602" s="737" t="s">
        <v>641</v>
      </c>
      <c r="N602" s="731" t="s">
        <v>719</v>
      </c>
      <c r="O602" s="734" t="s">
        <v>919</v>
      </c>
      <c r="P602" s="673" t="s">
        <v>41</v>
      </c>
      <c r="Q602" s="346">
        <v>0</v>
      </c>
      <c r="R602" s="346">
        <v>0</v>
      </c>
      <c r="S602" s="346">
        <v>0</v>
      </c>
      <c r="T602" s="346">
        <v>0</v>
      </c>
      <c r="U602" s="346">
        <v>0</v>
      </c>
      <c r="V602" s="346">
        <v>0</v>
      </c>
      <c r="W602" s="346">
        <v>0</v>
      </c>
      <c r="X602" s="346">
        <f>80000000+6385271</f>
        <v>86385271</v>
      </c>
      <c r="Y602" s="347"/>
      <c r="Z602" s="346">
        <v>0</v>
      </c>
      <c r="AA602" s="346">
        <v>0</v>
      </c>
      <c r="AB602" s="346"/>
      <c r="AC602" s="346"/>
      <c r="AD602" s="346">
        <v>0</v>
      </c>
      <c r="AE602" s="346">
        <v>0</v>
      </c>
      <c r="AF602" s="347">
        <v>0</v>
      </c>
      <c r="AG602" s="360"/>
      <c r="AH602" s="346">
        <v>0</v>
      </c>
      <c r="AI602" s="348"/>
      <c r="AJ602" s="348"/>
      <c r="AK602" s="346">
        <f>Q602+R602+S602+T602+U602+V602+W602+X602+Y602+Z602+AA602+AB602+AC602+AD602+AE602+AF602+AG602+AH602+AI602+AJ602</f>
        <v>86385271</v>
      </c>
    </row>
    <row r="603" spans="1:37" ht="66.75" customHeight="1" x14ac:dyDescent="0.2">
      <c r="A603" s="167"/>
      <c r="B603" s="167"/>
      <c r="C603" s="649">
        <v>13</v>
      </c>
      <c r="D603" s="644" t="s">
        <v>720</v>
      </c>
      <c r="E603" s="673">
        <v>71.040000000000006</v>
      </c>
      <c r="F603" s="227">
        <v>0.88170000000000004</v>
      </c>
      <c r="G603" s="111"/>
      <c r="H603" s="673">
        <v>155</v>
      </c>
      <c r="I603" s="665" t="s">
        <v>721</v>
      </c>
      <c r="J603" s="673">
        <v>0</v>
      </c>
      <c r="K603" s="19">
        <v>1</v>
      </c>
      <c r="L603" s="744"/>
      <c r="M603" s="738"/>
      <c r="N603" s="732"/>
      <c r="O603" s="735"/>
      <c r="P603" s="132" t="s">
        <v>41</v>
      </c>
      <c r="Q603" s="346">
        <v>0</v>
      </c>
      <c r="R603" s="346">
        <v>0</v>
      </c>
      <c r="S603" s="346">
        <v>0</v>
      </c>
      <c r="T603" s="346">
        <v>0</v>
      </c>
      <c r="U603" s="346">
        <v>0</v>
      </c>
      <c r="V603" s="346">
        <v>0</v>
      </c>
      <c r="W603" s="346">
        <v>0</v>
      </c>
      <c r="X603" s="346">
        <f>50500000+2300000</f>
        <v>52800000</v>
      </c>
      <c r="Y603" s="347"/>
      <c r="Z603" s="346">
        <v>0</v>
      </c>
      <c r="AA603" s="346">
        <v>0</v>
      </c>
      <c r="AB603" s="346"/>
      <c r="AC603" s="346"/>
      <c r="AD603" s="346">
        <v>0</v>
      </c>
      <c r="AE603" s="346">
        <v>0</v>
      </c>
      <c r="AF603" s="347">
        <v>0</v>
      </c>
      <c r="AG603" s="360"/>
      <c r="AH603" s="346">
        <v>0</v>
      </c>
      <c r="AI603" s="348"/>
      <c r="AJ603" s="348"/>
      <c r="AK603" s="346">
        <f>Q603+R603+S603+T603+U603+V603+W603+X603+Y603+Z603+AA603+AB603+AC603+AD603+AE603+AF603+AG603+AH603+AI603+AJ603</f>
        <v>52800000</v>
      </c>
    </row>
    <row r="604" spans="1:37" ht="166.5" customHeight="1" x14ac:dyDescent="0.2">
      <c r="A604" s="167"/>
      <c r="B604" s="167"/>
      <c r="C604" s="649" t="s">
        <v>722</v>
      </c>
      <c r="D604" s="644" t="s">
        <v>723</v>
      </c>
      <c r="E604" s="649" t="s">
        <v>724</v>
      </c>
      <c r="F604" s="649" t="s">
        <v>725</v>
      </c>
      <c r="G604" s="25"/>
      <c r="H604" s="673">
        <v>156</v>
      </c>
      <c r="I604" s="665" t="s">
        <v>726</v>
      </c>
      <c r="J604" s="673">
        <v>12</v>
      </c>
      <c r="K604" s="19">
        <v>12</v>
      </c>
      <c r="L604" s="744"/>
      <c r="M604" s="738"/>
      <c r="N604" s="732"/>
      <c r="O604" s="735"/>
      <c r="P604" s="132" t="s">
        <v>41</v>
      </c>
      <c r="Q604" s="346">
        <v>0</v>
      </c>
      <c r="R604" s="346">
        <v>0</v>
      </c>
      <c r="S604" s="346">
        <v>0</v>
      </c>
      <c r="T604" s="346">
        <v>0</v>
      </c>
      <c r="U604" s="346">
        <v>0</v>
      </c>
      <c r="V604" s="346">
        <v>0</v>
      </c>
      <c r="W604" s="346">
        <v>0</v>
      </c>
      <c r="X604" s="346">
        <f>74000000+8000000</f>
        <v>82000000</v>
      </c>
      <c r="Y604" s="346"/>
      <c r="Z604" s="346">
        <v>0</v>
      </c>
      <c r="AA604" s="346">
        <v>0</v>
      </c>
      <c r="AB604" s="346"/>
      <c r="AC604" s="346"/>
      <c r="AD604" s="346">
        <v>0</v>
      </c>
      <c r="AE604" s="346">
        <v>0</v>
      </c>
      <c r="AF604" s="347"/>
      <c r="AG604" s="360"/>
      <c r="AH604" s="346">
        <v>0</v>
      </c>
      <c r="AI604" s="348"/>
      <c r="AJ604" s="348"/>
      <c r="AK604" s="346">
        <f>Q604+R604+S604+T604+U604+V604+W604+X604+Y604+Z604+AA604+AB604+AC604+AD604+AE604+AF604+AG604+AH604+AI604+AJ604</f>
        <v>82000000</v>
      </c>
    </row>
    <row r="605" spans="1:37" ht="66.75" customHeight="1" x14ac:dyDescent="0.2">
      <c r="A605" s="167"/>
      <c r="B605" s="167"/>
      <c r="C605" s="648">
        <v>34</v>
      </c>
      <c r="D605" s="642" t="s">
        <v>727</v>
      </c>
      <c r="E605" s="648" t="s">
        <v>32</v>
      </c>
      <c r="F605" s="667">
        <v>0.4</v>
      </c>
      <c r="G605" s="25"/>
      <c r="H605" s="673">
        <v>157</v>
      </c>
      <c r="I605" s="665" t="s">
        <v>728</v>
      </c>
      <c r="J605" s="673">
        <v>12</v>
      </c>
      <c r="K605" s="19">
        <v>12</v>
      </c>
      <c r="L605" s="745"/>
      <c r="M605" s="739"/>
      <c r="N605" s="733"/>
      <c r="O605" s="736"/>
      <c r="P605" s="132" t="s">
        <v>41</v>
      </c>
      <c r="Q605" s="346">
        <v>0</v>
      </c>
      <c r="R605" s="346">
        <v>0</v>
      </c>
      <c r="S605" s="346">
        <v>0</v>
      </c>
      <c r="T605" s="346">
        <v>0</v>
      </c>
      <c r="U605" s="346">
        <v>0</v>
      </c>
      <c r="V605" s="346">
        <v>0</v>
      </c>
      <c r="W605" s="346">
        <v>0</v>
      </c>
      <c r="X605" s="346">
        <f>49542081+3200000</f>
        <v>52742081</v>
      </c>
      <c r="Y605" s="347"/>
      <c r="Z605" s="346">
        <v>0</v>
      </c>
      <c r="AA605" s="346">
        <v>0</v>
      </c>
      <c r="AB605" s="346"/>
      <c r="AC605" s="346"/>
      <c r="AD605" s="346">
        <v>0</v>
      </c>
      <c r="AE605" s="346">
        <v>0</v>
      </c>
      <c r="AF605" s="347">
        <v>0</v>
      </c>
      <c r="AG605" s="360"/>
      <c r="AH605" s="346">
        <v>0</v>
      </c>
      <c r="AI605" s="348"/>
      <c r="AJ605" s="348"/>
      <c r="AK605" s="346">
        <f>Q605+R605+S605+T605+U605+V605+W605+X605+Y605+Z605+AA605+AB605+AC605+AD605+AE605+AF605+AG605+AH605+AI605+AJ605</f>
        <v>52742081</v>
      </c>
    </row>
    <row r="606" spans="1:37" ht="30" customHeight="1" x14ac:dyDescent="0.2">
      <c r="A606" s="167"/>
      <c r="B606" s="16"/>
      <c r="C606" s="649"/>
      <c r="D606" s="644"/>
      <c r="E606" s="649"/>
      <c r="F606" s="649"/>
      <c r="G606" s="30"/>
      <c r="H606" s="31"/>
      <c r="I606" s="30"/>
      <c r="J606" s="31"/>
      <c r="K606" s="82"/>
      <c r="L606" s="82"/>
      <c r="M606" s="151"/>
      <c r="N606" s="31"/>
      <c r="O606" s="30"/>
      <c r="P606" s="31"/>
      <c r="Q606" s="355">
        <f t="shared" ref="Q606:AK606" si="142">SUM(Q602:Q605)</f>
        <v>0</v>
      </c>
      <c r="R606" s="355">
        <f t="shared" si="142"/>
        <v>0</v>
      </c>
      <c r="S606" s="355">
        <f t="shared" si="142"/>
        <v>0</v>
      </c>
      <c r="T606" s="355">
        <f t="shared" si="142"/>
        <v>0</v>
      </c>
      <c r="U606" s="355">
        <f t="shared" si="142"/>
        <v>0</v>
      </c>
      <c r="V606" s="355">
        <f t="shared" si="142"/>
        <v>0</v>
      </c>
      <c r="W606" s="355">
        <f t="shared" si="142"/>
        <v>0</v>
      </c>
      <c r="X606" s="355">
        <f t="shared" si="142"/>
        <v>273927352</v>
      </c>
      <c r="Y606" s="355">
        <f t="shared" si="142"/>
        <v>0</v>
      </c>
      <c r="Z606" s="355">
        <f t="shared" si="142"/>
        <v>0</v>
      </c>
      <c r="AA606" s="355">
        <f t="shared" si="142"/>
        <v>0</v>
      </c>
      <c r="AB606" s="355">
        <f t="shared" si="142"/>
        <v>0</v>
      </c>
      <c r="AC606" s="355">
        <f t="shared" si="142"/>
        <v>0</v>
      </c>
      <c r="AD606" s="355">
        <f t="shared" si="142"/>
        <v>0</v>
      </c>
      <c r="AE606" s="355">
        <f t="shared" si="142"/>
        <v>0</v>
      </c>
      <c r="AF606" s="355">
        <f t="shared" si="142"/>
        <v>0</v>
      </c>
      <c r="AG606" s="355">
        <f t="shared" si="142"/>
        <v>0</v>
      </c>
      <c r="AH606" s="355">
        <f t="shared" si="142"/>
        <v>0</v>
      </c>
      <c r="AI606" s="355">
        <f t="shared" si="142"/>
        <v>0</v>
      </c>
      <c r="AJ606" s="355">
        <f t="shared" si="142"/>
        <v>0</v>
      </c>
      <c r="AK606" s="355">
        <f t="shared" si="142"/>
        <v>273927352</v>
      </c>
    </row>
    <row r="607" spans="1:37" ht="30" customHeight="1" x14ac:dyDescent="0.2">
      <c r="A607" s="167"/>
      <c r="B607" s="16"/>
      <c r="C607" s="116"/>
      <c r="D607" s="44"/>
      <c r="E607" s="116"/>
      <c r="F607" s="116"/>
      <c r="G607" s="44"/>
      <c r="H607" s="116"/>
      <c r="I607" s="44"/>
      <c r="J607" s="116"/>
      <c r="K607" s="117"/>
      <c r="L607" s="229"/>
      <c r="M607" s="74"/>
      <c r="N607" s="345"/>
      <c r="O607" s="74"/>
      <c r="P607" s="116"/>
      <c r="Q607" s="350"/>
      <c r="R607" s="350"/>
      <c r="S607" s="350"/>
      <c r="T607" s="350"/>
      <c r="U607" s="350"/>
      <c r="V607" s="350"/>
      <c r="W607" s="350"/>
      <c r="X607" s="350"/>
      <c r="Y607" s="350"/>
      <c r="Z607" s="350"/>
      <c r="AA607" s="350"/>
      <c r="AB607" s="350"/>
      <c r="AC607" s="350"/>
      <c r="AD607" s="350"/>
      <c r="AE607" s="350"/>
      <c r="AF607" s="352"/>
      <c r="AG607" s="353"/>
      <c r="AH607" s="350"/>
      <c r="AI607" s="350"/>
      <c r="AJ607" s="350"/>
      <c r="AK607" s="354"/>
    </row>
    <row r="608" spans="1:37" ht="30" customHeight="1" x14ac:dyDescent="0.2">
      <c r="A608" s="167"/>
      <c r="B608" s="16"/>
      <c r="C608" s="648"/>
      <c r="D608" s="642"/>
      <c r="E608" s="648"/>
      <c r="F608" s="648"/>
      <c r="G608" s="181">
        <v>45</v>
      </c>
      <c r="H608" s="52" t="s">
        <v>729</v>
      </c>
      <c r="I608" s="52"/>
      <c r="J608" s="52"/>
      <c r="K608" s="96"/>
      <c r="L608" s="96"/>
      <c r="M608" s="581"/>
      <c r="N608" s="136"/>
      <c r="O608" s="52"/>
      <c r="P608" s="52"/>
      <c r="Q608" s="231"/>
      <c r="R608" s="231"/>
      <c r="S608" s="231"/>
      <c r="T608" s="231"/>
      <c r="U608" s="231"/>
      <c r="V608" s="231"/>
      <c r="W608" s="231"/>
      <c r="X608" s="231"/>
      <c r="Y608" s="231"/>
      <c r="Z608" s="231"/>
      <c r="AA608" s="231"/>
      <c r="AB608" s="231"/>
      <c r="AC608" s="231"/>
      <c r="AD608" s="231"/>
      <c r="AE608" s="231"/>
      <c r="AF608" s="359"/>
      <c r="AG608" s="231"/>
      <c r="AH608" s="231"/>
      <c r="AI608" s="231"/>
      <c r="AJ608" s="231"/>
      <c r="AK608" s="233"/>
    </row>
    <row r="609" spans="1:37" ht="110.25" customHeight="1" x14ac:dyDescent="0.2">
      <c r="A609" s="167"/>
      <c r="B609" s="16"/>
      <c r="C609" s="732" t="s">
        <v>730</v>
      </c>
      <c r="D609" s="735" t="s">
        <v>731</v>
      </c>
      <c r="E609" s="732" t="s">
        <v>732</v>
      </c>
      <c r="F609" s="732" t="s">
        <v>733</v>
      </c>
      <c r="G609" s="786"/>
      <c r="H609" s="18">
        <v>158</v>
      </c>
      <c r="I609" s="665" t="s">
        <v>734</v>
      </c>
      <c r="J609" s="18" t="s">
        <v>32</v>
      </c>
      <c r="K609" s="80">
        <v>11</v>
      </c>
      <c r="L609" s="743">
        <v>2017003630067</v>
      </c>
      <c r="M609" s="734" t="s">
        <v>641</v>
      </c>
      <c r="N609" s="731" t="s">
        <v>735</v>
      </c>
      <c r="O609" s="734" t="s">
        <v>920</v>
      </c>
      <c r="P609" s="673" t="s">
        <v>41</v>
      </c>
      <c r="Q609" s="346">
        <v>0</v>
      </c>
      <c r="R609" s="346">
        <v>0</v>
      </c>
      <c r="S609" s="346">
        <v>0</v>
      </c>
      <c r="T609" s="346">
        <v>0</v>
      </c>
      <c r="U609" s="346">
        <v>0</v>
      </c>
      <c r="V609" s="346">
        <v>0</v>
      </c>
      <c r="W609" s="346">
        <v>0</v>
      </c>
      <c r="X609" s="346">
        <f>1175000000+109098541</f>
        <v>1284098541</v>
      </c>
      <c r="Y609" s="347"/>
      <c r="Z609" s="346">
        <v>0</v>
      </c>
      <c r="AA609" s="346">
        <v>0</v>
      </c>
      <c r="AB609" s="346"/>
      <c r="AC609" s="346"/>
      <c r="AD609" s="346">
        <v>0</v>
      </c>
      <c r="AE609" s="346">
        <v>0</v>
      </c>
      <c r="AF609" s="347">
        <v>0</v>
      </c>
      <c r="AG609" s="360"/>
      <c r="AH609" s="346">
        <v>0</v>
      </c>
      <c r="AI609" s="348"/>
      <c r="AJ609" s="348"/>
      <c r="AK609" s="346">
        <f>Q609+R609+S609+T609+U609+V609+W609+X609+Y609+Z609+AA609+AB609+AC609+AD609+AE609+AF609+AG609+AH609+AI609+AJ609</f>
        <v>1284098541</v>
      </c>
    </row>
    <row r="610" spans="1:37" ht="110.25" customHeight="1" x14ac:dyDescent="0.2">
      <c r="A610" s="167"/>
      <c r="B610" s="16"/>
      <c r="C610" s="732"/>
      <c r="D610" s="735"/>
      <c r="E610" s="732"/>
      <c r="F610" s="732"/>
      <c r="G610" s="785"/>
      <c r="H610" s="18">
        <v>159</v>
      </c>
      <c r="I610" s="665" t="s">
        <v>736</v>
      </c>
      <c r="J610" s="18" t="s">
        <v>32</v>
      </c>
      <c r="K610" s="80">
        <v>8</v>
      </c>
      <c r="L610" s="745"/>
      <c r="M610" s="736"/>
      <c r="N610" s="733"/>
      <c r="O610" s="736"/>
      <c r="P610" s="673" t="s">
        <v>41</v>
      </c>
      <c r="Q610" s="346">
        <v>0</v>
      </c>
      <c r="R610" s="346">
        <v>0</v>
      </c>
      <c r="S610" s="346">
        <v>0</v>
      </c>
      <c r="T610" s="346">
        <v>0</v>
      </c>
      <c r="U610" s="346">
        <v>0</v>
      </c>
      <c r="V610" s="346">
        <v>0</v>
      </c>
      <c r="W610" s="346">
        <v>0</v>
      </c>
      <c r="X610" s="346">
        <v>0</v>
      </c>
      <c r="Y610" s="346"/>
      <c r="Z610" s="346">
        <v>0</v>
      </c>
      <c r="AA610" s="346">
        <v>0</v>
      </c>
      <c r="AB610" s="346"/>
      <c r="AC610" s="346"/>
      <c r="AD610" s="346">
        <v>0</v>
      </c>
      <c r="AE610" s="346">
        <v>0</v>
      </c>
      <c r="AF610" s="347">
        <v>0</v>
      </c>
      <c r="AG610" s="360"/>
      <c r="AH610" s="346">
        <v>0</v>
      </c>
      <c r="AI610" s="348"/>
      <c r="AJ610" s="348"/>
      <c r="AK610" s="346">
        <f>Q610+R610+S610+T610+U610+V610+W610+X610+Y610+Z610+AA610+AB610+AC610+AD610+AE610+AF610+AG610+AH610+AI610+AJ610</f>
        <v>0</v>
      </c>
    </row>
    <row r="611" spans="1:37" ht="30" customHeight="1" x14ac:dyDescent="0.2">
      <c r="A611" s="167"/>
      <c r="B611" s="16"/>
      <c r="C611" s="649"/>
      <c r="D611" s="644"/>
      <c r="E611" s="649"/>
      <c r="F611" s="649"/>
      <c r="G611" s="151"/>
      <c r="H611" s="32"/>
      <c r="I611" s="30"/>
      <c r="J611" s="32"/>
      <c r="K611" s="104"/>
      <c r="L611" s="104"/>
      <c r="M611" s="30"/>
      <c r="N611" s="31"/>
      <c r="O611" s="30"/>
      <c r="P611" s="31"/>
      <c r="Q611" s="355">
        <f t="shared" ref="Q611:AJ611" si="143">SUM(Q609:Q610)</f>
        <v>0</v>
      </c>
      <c r="R611" s="355">
        <f t="shared" si="143"/>
        <v>0</v>
      </c>
      <c r="S611" s="355">
        <f t="shared" si="143"/>
        <v>0</v>
      </c>
      <c r="T611" s="355">
        <f t="shared" si="143"/>
        <v>0</v>
      </c>
      <c r="U611" s="355">
        <f t="shared" si="143"/>
        <v>0</v>
      </c>
      <c r="V611" s="355">
        <f t="shared" si="143"/>
        <v>0</v>
      </c>
      <c r="W611" s="355">
        <f t="shared" si="143"/>
        <v>0</v>
      </c>
      <c r="X611" s="355">
        <f t="shared" si="143"/>
        <v>1284098541</v>
      </c>
      <c r="Y611" s="355">
        <f t="shared" si="143"/>
        <v>0</v>
      </c>
      <c r="Z611" s="355">
        <f t="shared" si="143"/>
        <v>0</v>
      </c>
      <c r="AA611" s="355">
        <f t="shared" si="143"/>
        <v>0</v>
      </c>
      <c r="AB611" s="355">
        <f t="shared" si="143"/>
        <v>0</v>
      </c>
      <c r="AC611" s="355">
        <f t="shared" si="143"/>
        <v>0</v>
      </c>
      <c r="AD611" s="355">
        <f t="shared" si="143"/>
        <v>0</v>
      </c>
      <c r="AE611" s="355">
        <f t="shared" si="143"/>
        <v>0</v>
      </c>
      <c r="AF611" s="355">
        <f t="shared" si="143"/>
        <v>0</v>
      </c>
      <c r="AG611" s="355">
        <f t="shared" si="143"/>
        <v>0</v>
      </c>
      <c r="AH611" s="355">
        <f t="shared" si="143"/>
        <v>0</v>
      </c>
      <c r="AI611" s="355">
        <f t="shared" si="143"/>
        <v>0</v>
      </c>
      <c r="AJ611" s="355">
        <f t="shared" si="143"/>
        <v>0</v>
      </c>
      <c r="AK611" s="355">
        <f>SUM(AK609:AK610)</f>
        <v>1284098541</v>
      </c>
    </row>
    <row r="612" spans="1:37" ht="30" customHeight="1" x14ac:dyDescent="0.2">
      <c r="A612" s="167"/>
      <c r="B612" s="16"/>
      <c r="C612" s="116"/>
      <c r="D612" s="44"/>
      <c r="E612" s="116"/>
      <c r="F612" s="116"/>
      <c r="G612" s="44"/>
      <c r="H612" s="116"/>
      <c r="I612" s="44"/>
      <c r="J612" s="116"/>
      <c r="K612" s="117"/>
      <c r="L612" s="229"/>
      <c r="M612" s="74"/>
      <c r="N612" s="345"/>
      <c r="O612" s="74"/>
      <c r="P612" s="116"/>
      <c r="Q612" s="350"/>
      <c r="R612" s="350"/>
      <c r="S612" s="350"/>
      <c r="T612" s="350"/>
      <c r="U612" s="350"/>
      <c r="V612" s="350"/>
      <c r="W612" s="350"/>
      <c r="X612" s="350"/>
      <c r="Y612" s="350"/>
      <c r="Z612" s="350"/>
      <c r="AA612" s="350"/>
      <c r="AB612" s="350"/>
      <c r="AC612" s="350"/>
      <c r="AD612" s="350"/>
      <c r="AE612" s="350"/>
      <c r="AF612" s="352"/>
      <c r="AG612" s="353"/>
      <c r="AH612" s="350"/>
      <c r="AI612" s="350"/>
      <c r="AJ612" s="350"/>
      <c r="AK612" s="354"/>
    </row>
    <row r="613" spans="1:37" ht="30" customHeight="1" x14ac:dyDescent="0.2">
      <c r="A613" s="167"/>
      <c r="B613" s="16"/>
      <c r="C613" s="648"/>
      <c r="D613" s="642"/>
      <c r="E613" s="648"/>
      <c r="F613" s="648"/>
      <c r="G613" s="181">
        <v>46</v>
      </c>
      <c r="H613" s="51" t="s">
        <v>737</v>
      </c>
      <c r="I613" s="51"/>
      <c r="J613" s="51"/>
      <c r="K613" s="294"/>
      <c r="L613" s="294"/>
      <c r="M613" s="581"/>
      <c r="N613" s="136"/>
      <c r="O613" s="51"/>
      <c r="P613" s="51"/>
      <c r="Q613" s="443"/>
      <c r="R613" s="443"/>
      <c r="S613" s="231"/>
      <c r="T613" s="231"/>
      <c r="U613" s="231"/>
      <c r="V613" s="231"/>
      <c r="W613" s="231"/>
      <c r="X613" s="231"/>
      <c r="Y613" s="231"/>
      <c r="Z613" s="231"/>
      <c r="AA613" s="231"/>
      <c r="AB613" s="231"/>
      <c r="AC613" s="231"/>
      <c r="AD613" s="231"/>
      <c r="AE613" s="231"/>
      <c r="AF613" s="359"/>
      <c r="AG613" s="231"/>
      <c r="AH613" s="231"/>
      <c r="AI613" s="231"/>
      <c r="AJ613" s="231"/>
      <c r="AK613" s="233"/>
    </row>
    <row r="614" spans="1:37" ht="74.25" customHeight="1" x14ac:dyDescent="0.2">
      <c r="A614" s="167"/>
      <c r="B614" s="16"/>
      <c r="C614" s="649">
        <v>26</v>
      </c>
      <c r="D614" s="644" t="s">
        <v>738</v>
      </c>
      <c r="E614" s="649" t="s">
        <v>679</v>
      </c>
      <c r="F614" s="649" t="s">
        <v>739</v>
      </c>
      <c r="G614" s="17"/>
      <c r="H614" s="673">
        <v>160</v>
      </c>
      <c r="I614" s="21" t="s">
        <v>740</v>
      </c>
      <c r="J614" s="673">
        <v>250</v>
      </c>
      <c r="K614" s="80">
        <v>300</v>
      </c>
      <c r="L614" s="20">
        <v>2017003630066</v>
      </c>
      <c r="M614" s="665" t="s">
        <v>641</v>
      </c>
      <c r="N614" s="673" t="s">
        <v>741</v>
      </c>
      <c r="O614" s="665" t="s">
        <v>921</v>
      </c>
      <c r="P614" s="673" t="s">
        <v>41</v>
      </c>
      <c r="Q614" s="346">
        <v>0</v>
      </c>
      <c r="R614" s="346">
        <v>0</v>
      </c>
      <c r="S614" s="346">
        <v>0</v>
      </c>
      <c r="T614" s="346">
        <v>0</v>
      </c>
      <c r="U614" s="346">
        <v>0</v>
      </c>
      <c r="V614" s="346">
        <v>0</v>
      </c>
      <c r="W614" s="346">
        <v>0</v>
      </c>
      <c r="X614" s="540">
        <f>970000000+32822900+134293814-229410811</f>
        <v>907705903</v>
      </c>
      <c r="Y614" s="347"/>
      <c r="Z614" s="346">
        <v>66328505</v>
      </c>
      <c r="AA614" s="346">
        <v>0</v>
      </c>
      <c r="AB614" s="346"/>
      <c r="AC614" s="346"/>
      <c r="AD614" s="346">
        <v>0</v>
      </c>
      <c r="AE614" s="346">
        <v>0</v>
      </c>
      <c r="AF614" s="347">
        <v>0</v>
      </c>
      <c r="AG614" s="360"/>
      <c r="AH614" s="346">
        <v>0</v>
      </c>
      <c r="AI614" s="348"/>
      <c r="AJ614" s="348">
        <v>36818951</v>
      </c>
      <c r="AK614" s="346">
        <f>Q614+R614+S614+T614+U614+V614+W614+X614+Y614+Z614+AA614+AB614+AC614+AD614+AE614+AF614+AG614+AH614+AI614+AJ614</f>
        <v>1010853359</v>
      </c>
    </row>
    <row r="615" spans="1:37" ht="106.5" customHeight="1" x14ac:dyDescent="0.2">
      <c r="A615" s="167"/>
      <c r="B615" s="16"/>
      <c r="C615" s="731" t="s">
        <v>742</v>
      </c>
      <c r="D615" s="734" t="s">
        <v>743</v>
      </c>
      <c r="E615" s="731" t="s">
        <v>744</v>
      </c>
      <c r="F615" s="731" t="s">
        <v>745</v>
      </c>
      <c r="G615" s="23"/>
      <c r="H615" s="673">
        <v>161</v>
      </c>
      <c r="I615" s="665" t="s">
        <v>746</v>
      </c>
      <c r="J615" s="673">
        <v>90</v>
      </c>
      <c r="K615" s="80">
        <v>100</v>
      </c>
      <c r="L615" s="743">
        <v>2017003630110</v>
      </c>
      <c r="M615" s="734" t="s">
        <v>641</v>
      </c>
      <c r="N615" s="731" t="s">
        <v>747</v>
      </c>
      <c r="O615" s="734" t="s">
        <v>748</v>
      </c>
      <c r="P615" s="673" t="s">
        <v>41</v>
      </c>
      <c r="Q615" s="346">
        <v>0</v>
      </c>
      <c r="R615" s="346">
        <v>0</v>
      </c>
      <c r="S615" s="346">
        <v>0</v>
      </c>
      <c r="T615" s="346">
        <v>0</v>
      </c>
      <c r="U615" s="346">
        <v>0</v>
      </c>
      <c r="V615" s="346">
        <v>0</v>
      </c>
      <c r="W615" s="346">
        <v>0</v>
      </c>
      <c r="X615" s="346">
        <f>90000000</f>
        <v>90000000</v>
      </c>
      <c r="Y615" s="347"/>
      <c r="Z615" s="346">
        <v>46340000</v>
      </c>
      <c r="AA615" s="346">
        <v>0</v>
      </c>
      <c r="AB615" s="346"/>
      <c r="AC615" s="346"/>
      <c r="AD615" s="346">
        <v>0</v>
      </c>
      <c r="AE615" s="346">
        <v>0</v>
      </c>
      <c r="AF615" s="347">
        <v>0</v>
      </c>
      <c r="AG615" s="360"/>
      <c r="AH615" s="346">
        <v>0</v>
      </c>
      <c r="AI615" s="348"/>
      <c r="AJ615" s="348"/>
      <c r="AK615" s="346">
        <f>Q615+R615+S615+T615+U615+V615+W615+X615+Y615+Z615+AA615+AB615+AC615+AD615+AE615+AF615+AG615+AH615+AI615+AJ615</f>
        <v>136340000</v>
      </c>
    </row>
    <row r="616" spans="1:37" ht="106.5" customHeight="1" x14ac:dyDescent="0.2">
      <c r="A616" s="167"/>
      <c r="B616" s="16"/>
      <c r="C616" s="732"/>
      <c r="D616" s="735"/>
      <c r="E616" s="732"/>
      <c r="F616" s="732"/>
      <c r="G616" s="65"/>
      <c r="H616" s="673">
        <v>162</v>
      </c>
      <c r="I616" s="665" t="s">
        <v>749</v>
      </c>
      <c r="J616" s="673">
        <v>83</v>
      </c>
      <c r="K616" s="80">
        <v>83</v>
      </c>
      <c r="L616" s="745"/>
      <c r="M616" s="736"/>
      <c r="N616" s="733"/>
      <c r="O616" s="736"/>
      <c r="P616" s="673" t="s">
        <v>41</v>
      </c>
      <c r="Q616" s="346">
        <v>0</v>
      </c>
      <c r="R616" s="346">
        <v>0</v>
      </c>
      <c r="S616" s="346">
        <v>0</v>
      </c>
      <c r="T616" s="346">
        <v>0</v>
      </c>
      <c r="U616" s="346">
        <v>0</v>
      </c>
      <c r="V616" s="346">
        <v>0</v>
      </c>
      <c r="W616" s="346">
        <v>0</v>
      </c>
      <c r="X616" s="22">
        <f>225000000+27584843</f>
        <v>252584843</v>
      </c>
      <c r="Y616" s="347"/>
      <c r="Z616" s="346">
        <v>40702000</v>
      </c>
      <c r="AA616" s="346">
        <v>0</v>
      </c>
      <c r="AB616" s="346"/>
      <c r="AC616" s="346"/>
      <c r="AD616" s="346">
        <v>0</v>
      </c>
      <c r="AE616" s="346">
        <v>0</v>
      </c>
      <c r="AF616" s="347">
        <v>0</v>
      </c>
      <c r="AG616" s="360"/>
      <c r="AH616" s="346">
        <v>0</v>
      </c>
      <c r="AI616" s="348"/>
      <c r="AJ616" s="348">
        <v>30000000</v>
      </c>
      <c r="AK616" s="346">
        <f>Q616+R616+S616+T616+U616+V616+W616+X616+Y616+Z616+AA616+AB616+AC616+AD616+AE616+AF616+AG616+AH616+AI616+AJ616</f>
        <v>323286843</v>
      </c>
    </row>
    <row r="617" spans="1:37" ht="30" customHeight="1" x14ac:dyDescent="0.2">
      <c r="A617" s="16"/>
      <c r="B617" s="29"/>
      <c r="C617" s="649"/>
      <c r="D617" s="644"/>
      <c r="E617" s="649"/>
      <c r="F617" s="649"/>
      <c r="G617" s="30"/>
      <c r="H617" s="31"/>
      <c r="I617" s="30"/>
      <c r="J617" s="31"/>
      <c r="K617" s="104"/>
      <c r="L617" s="104"/>
      <c r="M617" s="30"/>
      <c r="N617" s="31"/>
      <c r="O617" s="30"/>
      <c r="P617" s="31"/>
      <c r="Q617" s="355">
        <f t="shared" ref="Q617:AJ617" si="144">SUM(Q614:Q616)</f>
        <v>0</v>
      </c>
      <c r="R617" s="355">
        <f t="shared" si="144"/>
        <v>0</v>
      </c>
      <c r="S617" s="355">
        <f t="shared" si="144"/>
        <v>0</v>
      </c>
      <c r="T617" s="355">
        <f t="shared" si="144"/>
        <v>0</v>
      </c>
      <c r="U617" s="355">
        <f t="shared" si="144"/>
        <v>0</v>
      </c>
      <c r="V617" s="355">
        <f t="shared" si="144"/>
        <v>0</v>
      </c>
      <c r="W617" s="355">
        <f t="shared" si="144"/>
        <v>0</v>
      </c>
      <c r="X617" s="355">
        <f t="shared" si="144"/>
        <v>1250290746</v>
      </c>
      <c r="Y617" s="355">
        <f t="shared" si="144"/>
        <v>0</v>
      </c>
      <c r="Z617" s="355">
        <f t="shared" si="144"/>
        <v>153370505</v>
      </c>
      <c r="AA617" s="355">
        <f>SUM(AA614:AA616)</f>
        <v>0</v>
      </c>
      <c r="AB617" s="355">
        <f t="shared" si="144"/>
        <v>0</v>
      </c>
      <c r="AC617" s="355">
        <f t="shared" si="144"/>
        <v>0</v>
      </c>
      <c r="AD617" s="355">
        <f t="shared" si="144"/>
        <v>0</v>
      </c>
      <c r="AE617" s="355">
        <f t="shared" si="144"/>
        <v>0</v>
      </c>
      <c r="AF617" s="355">
        <f t="shared" si="144"/>
        <v>0</v>
      </c>
      <c r="AG617" s="355">
        <f t="shared" si="144"/>
        <v>0</v>
      </c>
      <c r="AH617" s="355">
        <f t="shared" si="144"/>
        <v>0</v>
      </c>
      <c r="AI617" s="355">
        <f t="shared" si="144"/>
        <v>0</v>
      </c>
      <c r="AJ617" s="355">
        <f t="shared" si="144"/>
        <v>66818951</v>
      </c>
      <c r="AK617" s="355">
        <f>SUM(AK614:AK616)</f>
        <v>1470480202</v>
      </c>
    </row>
    <row r="618" spans="1:37" ht="30" customHeight="1" x14ac:dyDescent="0.2">
      <c r="A618" s="16"/>
      <c r="B618" s="68"/>
      <c r="C618" s="35"/>
      <c r="D618" s="34"/>
      <c r="E618" s="35"/>
      <c r="F618" s="35"/>
      <c r="G618" s="34"/>
      <c r="H618" s="35"/>
      <c r="I618" s="34"/>
      <c r="J618" s="35"/>
      <c r="K618" s="113"/>
      <c r="L618" s="113"/>
      <c r="M618" s="34"/>
      <c r="N618" s="35"/>
      <c r="O618" s="34"/>
      <c r="P618" s="35"/>
      <c r="Q618" s="361">
        <f t="shared" ref="Q618:AJ618" si="145">Q617+Q611+Q606+Q599+Q593+Q588+Q583+Q575+Q569+Q563+Q556</f>
        <v>0</v>
      </c>
      <c r="R618" s="361">
        <f t="shared" si="145"/>
        <v>0</v>
      </c>
      <c r="S618" s="361">
        <f t="shared" si="145"/>
        <v>0</v>
      </c>
      <c r="T618" s="361">
        <f t="shared" si="145"/>
        <v>0</v>
      </c>
      <c r="U618" s="361">
        <f t="shared" si="145"/>
        <v>0</v>
      </c>
      <c r="V618" s="361">
        <f t="shared" si="145"/>
        <v>0</v>
      </c>
      <c r="W618" s="361">
        <f t="shared" si="145"/>
        <v>0</v>
      </c>
      <c r="X618" s="361">
        <f t="shared" si="145"/>
        <v>3957254361.0700002</v>
      </c>
      <c r="Y618" s="361">
        <f t="shared" si="145"/>
        <v>0</v>
      </c>
      <c r="Z618" s="361">
        <f t="shared" si="145"/>
        <v>359370505</v>
      </c>
      <c r="AA618" s="361">
        <f t="shared" si="145"/>
        <v>1224647292</v>
      </c>
      <c r="AB618" s="361">
        <f t="shared" si="145"/>
        <v>0</v>
      </c>
      <c r="AC618" s="361">
        <f t="shared" si="145"/>
        <v>0</v>
      </c>
      <c r="AD618" s="361">
        <f t="shared" si="145"/>
        <v>0</v>
      </c>
      <c r="AE618" s="361">
        <f t="shared" si="145"/>
        <v>0</v>
      </c>
      <c r="AF618" s="361">
        <f t="shared" si="145"/>
        <v>60000000</v>
      </c>
      <c r="AG618" s="361">
        <f t="shared" si="145"/>
        <v>0</v>
      </c>
      <c r="AH618" s="361">
        <f t="shared" si="145"/>
        <v>0</v>
      </c>
      <c r="AI618" s="361">
        <f t="shared" si="145"/>
        <v>0</v>
      </c>
      <c r="AJ618" s="361">
        <f t="shared" si="145"/>
        <v>730568461</v>
      </c>
      <c r="AK618" s="361">
        <f>AK617+AK611+AK606+AK599+AK593+AK588+AK583+AK575+AK569+AK563+AK556</f>
        <v>6331840619.0699997</v>
      </c>
    </row>
    <row r="619" spans="1:37" ht="30" customHeight="1" x14ac:dyDescent="0.2">
      <c r="A619" s="16"/>
      <c r="B619" s="44"/>
      <c r="C619" s="116"/>
      <c r="D619" s="44"/>
      <c r="E619" s="116"/>
      <c r="F619" s="116"/>
      <c r="G619" s="44"/>
      <c r="H619" s="116"/>
      <c r="I619" s="44"/>
      <c r="J619" s="116"/>
      <c r="K619" s="117"/>
      <c r="L619" s="229"/>
      <c r="M619" s="74"/>
      <c r="N619" s="345"/>
      <c r="O619" s="74"/>
      <c r="P619" s="116"/>
      <c r="Q619" s="350"/>
      <c r="R619" s="350"/>
      <c r="S619" s="350"/>
      <c r="T619" s="350"/>
      <c r="U619" s="350"/>
      <c r="V619" s="350"/>
      <c r="W619" s="350"/>
      <c r="X619" s="350"/>
      <c r="Y619" s="350"/>
      <c r="Z619" s="350"/>
      <c r="AA619" s="350"/>
      <c r="AB619" s="350"/>
      <c r="AC619" s="350"/>
      <c r="AD619" s="350"/>
      <c r="AE619" s="350"/>
      <c r="AF619" s="352"/>
      <c r="AG619" s="350"/>
      <c r="AH619" s="350"/>
      <c r="AI619" s="350"/>
      <c r="AJ619" s="351"/>
      <c r="AK619" s="354"/>
    </row>
    <row r="620" spans="1:37" ht="30" customHeight="1" x14ac:dyDescent="0.2">
      <c r="A620" s="16"/>
      <c r="B620" s="287">
        <v>13</v>
      </c>
      <c r="C620" s="11" t="s">
        <v>750</v>
      </c>
      <c r="D620" s="12"/>
      <c r="E620" s="12"/>
      <c r="F620" s="12"/>
      <c r="G620" s="12"/>
      <c r="H620" s="13"/>
      <c r="I620" s="12"/>
      <c r="J620" s="12"/>
      <c r="K620" s="94"/>
      <c r="L620" s="94"/>
      <c r="M620" s="579"/>
      <c r="N620" s="13"/>
      <c r="O620" s="12"/>
      <c r="P620" s="12"/>
      <c r="Q620" s="357"/>
      <c r="R620" s="357"/>
      <c r="S620" s="357"/>
      <c r="T620" s="357"/>
      <c r="U620" s="357"/>
      <c r="V620" s="357"/>
      <c r="W620" s="357"/>
      <c r="X620" s="357"/>
      <c r="Y620" s="357"/>
      <c r="Z620" s="357"/>
      <c r="AA620" s="357"/>
      <c r="AB620" s="357"/>
      <c r="AC620" s="357"/>
      <c r="AD620" s="357"/>
      <c r="AE620" s="357"/>
      <c r="AF620" s="358"/>
      <c r="AG620" s="357"/>
      <c r="AH620" s="357"/>
      <c r="AI620" s="357"/>
      <c r="AJ620" s="357"/>
      <c r="AK620" s="362"/>
    </row>
    <row r="621" spans="1:37" ht="30" customHeight="1" x14ac:dyDescent="0.2">
      <c r="A621" s="167"/>
      <c r="B621" s="16"/>
      <c r="C621" s="648"/>
      <c r="D621" s="642"/>
      <c r="E621" s="648"/>
      <c r="F621" s="648"/>
      <c r="G621" s="181">
        <v>47</v>
      </c>
      <c r="H621" s="51" t="s">
        <v>751</v>
      </c>
      <c r="I621" s="51"/>
      <c r="J621" s="51"/>
      <c r="K621" s="294"/>
      <c r="L621" s="294"/>
      <c r="M621" s="581"/>
      <c r="N621" s="136"/>
      <c r="O621" s="51"/>
      <c r="P621" s="51"/>
      <c r="Q621" s="231"/>
      <c r="R621" s="231"/>
      <c r="S621" s="231"/>
      <c r="T621" s="231"/>
      <c r="U621" s="231"/>
      <c r="V621" s="231"/>
      <c r="W621" s="231"/>
      <c r="X621" s="231"/>
      <c r="Y621" s="231"/>
      <c r="Z621" s="231"/>
      <c r="AA621" s="231"/>
      <c r="AB621" s="231"/>
      <c r="AC621" s="231"/>
      <c r="AD621" s="231"/>
      <c r="AE621" s="231"/>
      <c r="AF621" s="359"/>
      <c r="AG621" s="231"/>
      <c r="AH621" s="231"/>
      <c r="AI621" s="231"/>
      <c r="AJ621" s="231"/>
      <c r="AK621" s="233"/>
    </row>
    <row r="622" spans="1:37" ht="91.5" customHeight="1" x14ac:dyDescent="0.2">
      <c r="A622" s="167"/>
      <c r="B622" s="16"/>
      <c r="C622" s="638">
        <v>27</v>
      </c>
      <c r="D622" s="23" t="s">
        <v>752</v>
      </c>
      <c r="E622" s="651">
        <v>0.89949999999999997</v>
      </c>
      <c r="F622" s="647">
        <v>0.92</v>
      </c>
      <c r="G622" s="665"/>
      <c r="H622" s="673">
        <v>163</v>
      </c>
      <c r="I622" s="665" t="s">
        <v>753</v>
      </c>
      <c r="J622" s="673">
        <v>12</v>
      </c>
      <c r="K622" s="80">
        <v>12</v>
      </c>
      <c r="L622" s="20">
        <v>2017003630064</v>
      </c>
      <c r="M622" s="665" t="s">
        <v>641</v>
      </c>
      <c r="N622" s="673" t="s">
        <v>754</v>
      </c>
      <c r="O622" s="665" t="s">
        <v>755</v>
      </c>
      <c r="P622" s="673" t="s">
        <v>41</v>
      </c>
      <c r="Q622" s="346">
        <v>0</v>
      </c>
      <c r="R622" s="346">
        <v>0</v>
      </c>
      <c r="S622" s="346">
        <v>0</v>
      </c>
      <c r="T622" s="346">
        <v>0</v>
      </c>
      <c r="U622" s="346">
        <v>0</v>
      </c>
      <c r="V622" s="346">
        <v>0</v>
      </c>
      <c r="W622" s="346">
        <v>0</v>
      </c>
      <c r="X622" s="346"/>
      <c r="Y622" s="346"/>
      <c r="Z622" s="346">
        <v>29046000</v>
      </c>
      <c r="AA622" s="346">
        <v>0</v>
      </c>
      <c r="AB622" s="346"/>
      <c r="AC622" s="346"/>
      <c r="AD622" s="346">
        <v>0</v>
      </c>
      <c r="AE622" s="346">
        <v>0</v>
      </c>
      <c r="AF622" s="347">
        <v>0</v>
      </c>
      <c r="AG622" s="360"/>
      <c r="AH622" s="346">
        <v>0</v>
      </c>
      <c r="AI622" s="348"/>
      <c r="AJ622" s="348"/>
      <c r="AK622" s="346">
        <f>Q622+R622+S622+T622+U622+V622+W622+X622+Y622+Z622+AA622+AB622+AC622+AD622+AE622+AF622+AG622+AH622+AI622+AJ622</f>
        <v>29046000</v>
      </c>
    </row>
    <row r="623" spans="1:37" ht="30" customHeight="1" x14ac:dyDescent="0.2">
      <c r="A623" s="167"/>
      <c r="B623" s="16"/>
      <c r="C623" s="649"/>
      <c r="D623" s="644"/>
      <c r="E623" s="649"/>
      <c r="F623" s="649"/>
      <c r="G623" s="30"/>
      <c r="H623" s="31"/>
      <c r="I623" s="30"/>
      <c r="J623" s="31"/>
      <c r="K623" s="104"/>
      <c r="L623" s="104"/>
      <c r="M623" s="30"/>
      <c r="N623" s="31"/>
      <c r="O623" s="31"/>
      <c r="P623" s="31"/>
      <c r="Q623" s="355">
        <f t="shared" ref="Q623:AK623" si="146">SUM(Q622)</f>
        <v>0</v>
      </c>
      <c r="R623" s="355">
        <f t="shared" si="146"/>
        <v>0</v>
      </c>
      <c r="S623" s="355">
        <f t="shared" si="146"/>
        <v>0</v>
      </c>
      <c r="T623" s="355">
        <f t="shared" si="146"/>
        <v>0</v>
      </c>
      <c r="U623" s="355">
        <f t="shared" si="146"/>
        <v>0</v>
      </c>
      <c r="V623" s="355">
        <f t="shared" si="146"/>
        <v>0</v>
      </c>
      <c r="W623" s="355">
        <f t="shared" si="146"/>
        <v>0</v>
      </c>
      <c r="X623" s="355">
        <f t="shared" si="146"/>
        <v>0</v>
      </c>
      <c r="Y623" s="355">
        <f t="shared" si="146"/>
        <v>0</v>
      </c>
      <c r="Z623" s="355">
        <f t="shared" si="146"/>
        <v>29046000</v>
      </c>
      <c r="AA623" s="355">
        <f t="shared" si="146"/>
        <v>0</v>
      </c>
      <c r="AB623" s="355">
        <f t="shared" si="146"/>
        <v>0</v>
      </c>
      <c r="AC623" s="355">
        <f t="shared" si="146"/>
        <v>0</v>
      </c>
      <c r="AD623" s="355">
        <f t="shared" si="146"/>
        <v>0</v>
      </c>
      <c r="AE623" s="355">
        <f t="shared" si="146"/>
        <v>0</v>
      </c>
      <c r="AF623" s="355">
        <f t="shared" si="146"/>
        <v>0</v>
      </c>
      <c r="AG623" s="355">
        <f t="shared" si="146"/>
        <v>0</v>
      </c>
      <c r="AH623" s="355">
        <f t="shared" si="146"/>
        <v>0</v>
      </c>
      <c r="AI623" s="355">
        <f t="shared" si="146"/>
        <v>0</v>
      </c>
      <c r="AJ623" s="355">
        <f t="shared" si="146"/>
        <v>0</v>
      </c>
      <c r="AK623" s="355">
        <f t="shared" si="146"/>
        <v>29046000</v>
      </c>
    </row>
    <row r="624" spans="1:37" ht="30" customHeight="1" x14ac:dyDescent="0.2">
      <c r="A624" s="167"/>
      <c r="B624" s="16"/>
      <c r="C624" s="116"/>
      <c r="D624" s="44"/>
      <c r="E624" s="116"/>
      <c r="F624" s="116"/>
      <c r="G624" s="44"/>
      <c r="H624" s="116"/>
      <c r="I624" s="44"/>
      <c r="J624" s="116"/>
      <c r="K624" s="117"/>
      <c r="L624" s="229"/>
      <c r="M624" s="74"/>
      <c r="N624" s="345"/>
      <c r="O624" s="345"/>
      <c r="P624" s="116"/>
      <c r="Q624" s="350"/>
      <c r="R624" s="351"/>
      <c r="S624" s="350"/>
      <c r="T624" s="350"/>
      <c r="U624" s="350"/>
      <c r="V624" s="350"/>
      <c r="W624" s="350"/>
      <c r="X624" s="350"/>
      <c r="Y624" s="350"/>
      <c r="Z624" s="350"/>
      <c r="AA624" s="350"/>
      <c r="AB624" s="350"/>
      <c r="AC624" s="350"/>
      <c r="AD624" s="350"/>
      <c r="AE624" s="350"/>
      <c r="AF624" s="352"/>
      <c r="AG624" s="353"/>
      <c r="AH624" s="350"/>
      <c r="AI624" s="350"/>
      <c r="AJ624" s="350"/>
      <c r="AK624" s="354"/>
    </row>
    <row r="625" spans="1:37" ht="30" customHeight="1" x14ac:dyDescent="0.2">
      <c r="A625" s="167"/>
      <c r="B625" s="16"/>
      <c r="C625" s="648"/>
      <c r="D625" s="642"/>
      <c r="E625" s="648"/>
      <c r="F625" s="648"/>
      <c r="G625" s="181">
        <v>48</v>
      </c>
      <c r="H625" s="51" t="s">
        <v>756</v>
      </c>
      <c r="I625" s="51"/>
      <c r="J625" s="51"/>
      <c r="K625" s="294"/>
      <c r="L625" s="294"/>
      <c r="M625" s="581"/>
      <c r="N625" s="136"/>
      <c r="O625" s="51"/>
      <c r="P625" s="51"/>
      <c r="Q625" s="231"/>
      <c r="R625" s="231"/>
      <c r="S625" s="231"/>
      <c r="T625" s="231"/>
      <c r="U625" s="231"/>
      <c r="V625" s="231"/>
      <c r="W625" s="231"/>
      <c r="X625" s="231"/>
      <c r="Y625" s="231"/>
      <c r="Z625" s="231"/>
      <c r="AA625" s="231"/>
      <c r="AB625" s="231"/>
      <c r="AC625" s="231"/>
      <c r="AD625" s="231"/>
      <c r="AE625" s="231"/>
      <c r="AF625" s="359"/>
      <c r="AG625" s="231"/>
      <c r="AH625" s="231"/>
      <c r="AI625" s="231"/>
      <c r="AJ625" s="231"/>
      <c r="AK625" s="233"/>
    </row>
    <row r="626" spans="1:37" ht="96.75" customHeight="1" x14ac:dyDescent="0.2">
      <c r="A626" s="167"/>
      <c r="B626" s="16"/>
      <c r="C626" s="638">
        <v>27</v>
      </c>
      <c r="D626" s="23" t="s">
        <v>752</v>
      </c>
      <c r="E626" s="651">
        <v>0.89949999999999997</v>
      </c>
      <c r="F626" s="647">
        <v>0.92</v>
      </c>
      <c r="G626" s="665"/>
      <c r="H626" s="673">
        <v>164</v>
      </c>
      <c r="I626" s="665" t="s">
        <v>757</v>
      </c>
      <c r="J626" s="673">
        <v>12</v>
      </c>
      <c r="K626" s="80">
        <v>12</v>
      </c>
      <c r="L626" s="20">
        <v>2017003630064</v>
      </c>
      <c r="M626" s="665" t="s">
        <v>641</v>
      </c>
      <c r="N626" s="673" t="s">
        <v>754</v>
      </c>
      <c r="O626" s="665" t="s">
        <v>755</v>
      </c>
      <c r="P626" s="673" t="s">
        <v>41</v>
      </c>
      <c r="Q626" s="346">
        <v>0</v>
      </c>
      <c r="R626" s="346">
        <v>0</v>
      </c>
      <c r="S626" s="346">
        <v>0</v>
      </c>
      <c r="T626" s="346">
        <v>0</v>
      </c>
      <c r="U626" s="346">
        <v>0</v>
      </c>
      <c r="V626" s="346">
        <v>0</v>
      </c>
      <c r="W626" s="346">
        <v>0</v>
      </c>
      <c r="X626" s="346">
        <v>0</v>
      </c>
      <c r="Y626" s="346">
        <v>0</v>
      </c>
      <c r="Z626" s="621">
        <f>576895858+14155570045+2795505083+225414731+74566467+230956319+1422058375</f>
        <v>19480966878</v>
      </c>
      <c r="AA626" s="540">
        <v>1325890696</v>
      </c>
      <c r="AB626" s="346">
        <v>0</v>
      </c>
      <c r="AC626" s="346">
        <v>0</v>
      </c>
      <c r="AD626" s="346">
        <v>0</v>
      </c>
      <c r="AE626" s="346">
        <v>0</v>
      </c>
      <c r="AF626" s="347">
        <v>0</v>
      </c>
      <c r="AG626" s="360">
        <v>0</v>
      </c>
      <c r="AH626" s="346"/>
      <c r="AI626" s="348"/>
      <c r="AJ626" s="546"/>
      <c r="AK626" s="346">
        <f>Q626+R626+S626+T626+U626+V626+W626+X626+Y626+Z626+AA626+AB626+AC626+AD626+AE626+AF626+AG626+AH626+AI626+AJ626</f>
        <v>20806857574</v>
      </c>
    </row>
    <row r="627" spans="1:37" ht="30" customHeight="1" x14ac:dyDescent="0.2">
      <c r="A627" s="167"/>
      <c r="B627" s="16"/>
      <c r="C627" s="649"/>
      <c r="D627" s="644"/>
      <c r="E627" s="649"/>
      <c r="F627" s="649"/>
      <c r="G627" s="30"/>
      <c r="H627" s="31"/>
      <c r="I627" s="30"/>
      <c r="J627" s="31"/>
      <c r="K627" s="104"/>
      <c r="L627" s="104"/>
      <c r="M627" s="30"/>
      <c r="N627" s="31"/>
      <c r="O627" s="30"/>
      <c r="P627" s="31"/>
      <c r="Q627" s="355">
        <f t="shared" ref="Q627:AI627" si="147">SUM(Q626)</f>
        <v>0</v>
      </c>
      <c r="R627" s="355">
        <f t="shared" si="147"/>
        <v>0</v>
      </c>
      <c r="S627" s="355">
        <f t="shared" si="147"/>
        <v>0</v>
      </c>
      <c r="T627" s="355">
        <f t="shared" si="147"/>
        <v>0</v>
      </c>
      <c r="U627" s="355">
        <f t="shared" si="147"/>
        <v>0</v>
      </c>
      <c r="V627" s="355">
        <f t="shared" si="147"/>
        <v>0</v>
      </c>
      <c r="W627" s="355">
        <f t="shared" si="147"/>
        <v>0</v>
      </c>
      <c r="X627" s="355">
        <f t="shared" si="147"/>
        <v>0</v>
      </c>
      <c r="Y627" s="355">
        <f t="shared" si="147"/>
        <v>0</v>
      </c>
      <c r="Z627" s="355">
        <f t="shared" si="147"/>
        <v>19480966878</v>
      </c>
      <c r="AA627" s="355">
        <f t="shared" si="147"/>
        <v>1325890696</v>
      </c>
      <c r="AB627" s="355">
        <f t="shared" si="147"/>
        <v>0</v>
      </c>
      <c r="AC627" s="355">
        <f t="shared" si="147"/>
        <v>0</v>
      </c>
      <c r="AD627" s="355">
        <f t="shared" si="147"/>
        <v>0</v>
      </c>
      <c r="AE627" s="355">
        <f t="shared" si="147"/>
        <v>0</v>
      </c>
      <c r="AF627" s="355">
        <f t="shared" si="147"/>
        <v>0</v>
      </c>
      <c r="AG627" s="355">
        <f t="shared" si="147"/>
        <v>0</v>
      </c>
      <c r="AH627" s="355">
        <f t="shared" si="147"/>
        <v>0</v>
      </c>
      <c r="AI627" s="355">
        <f t="shared" si="147"/>
        <v>0</v>
      </c>
      <c r="AJ627" s="355">
        <f>SUM(AJ626)</f>
        <v>0</v>
      </c>
      <c r="AK627" s="355">
        <f>SUM(AK626)</f>
        <v>20806857574</v>
      </c>
    </row>
    <row r="628" spans="1:37" ht="30" customHeight="1" x14ac:dyDescent="0.2">
      <c r="A628" s="167"/>
      <c r="B628" s="16"/>
      <c r="C628" s="116"/>
      <c r="D628" s="44"/>
      <c r="E628" s="116"/>
      <c r="F628" s="116"/>
      <c r="G628" s="44"/>
      <c r="H628" s="116"/>
      <c r="I628" s="44"/>
      <c r="J628" s="116"/>
      <c r="K628" s="117"/>
      <c r="L628" s="229"/>
      <c r="M628" s="74"/>
      <c r="N628" s="345"/>
      <c r="O628" s="74"/>
      <c r="P628" s="116"/>
      <c r="Q628" s="350"/>
      <c r="R628" s="351"/>
      <c r="S628" s="350"/>
      <c r="T628" s="350"/>
      <c r="U628" s="350"/>
      <c r="V628" s="350"/>
      <c r="W628" s="350"/>
      <c r="X628" s="350"/>
      <c r="Y628" s="350"/>
      <c r="Z628" s="350"/>
      <c r="AA628" s="350"/>
      <c r="AB628" s="350"/>
      <c r="AC628" s="350"/>
      <c r="AD628" s="350"/>
      <c r="AE628" s="350"/>
      <c r="AF628" s="352"/>
      <c r="AG628" s="353"/>
      <c r="AH628" s="350"/>
      <c r="AI628" s="350"/>
      <c r="AJ628" s="350"/>
      <c r="AK628" s="354"/>
    </row>
    <row r="629" spans="1:37" ht="30" customHeight="1" x14ac:dyDescent="0.2">
      <c r="A629" s="167"/>
      <c r="B629" s="16"/>
      <c r="C629" s="648"/>
      <c r="D629" s="642"/>
      <c r="E629" s="648"/>
      <c r="F629" s="648"/>
      <c r="G629" s="181">
        <v>49</v>
      </c>
      <c r="H629" s="51" t="s">
        <v>758</v>
      </c>
      <c r="I629" s="51"/>
      <c r="J629" s="51"/>
      <c r="K629" s="294"/>
      <c r="L629" s="294"/>
      <c r="M629" s="581"/>
      <c r="N629" s="136"/>
      <c r="O629" s="51"/>
      <c r="P629" s="51"/>
      <c r="Q629" s="231"/>
      <c r="R629" s="231"/>
      <c r="S629" s="231"/>
      <c r="T629" s="231"/>
      <c r="U629" s="231"/>
      <c r="V629" s="231"/>
      <c r="W629" s="231"/>
      <c r="X629" s="231"/>
      <c r="Y629" s="231"/>
      <c r="Z629" s="231"/>
      <c r="AA629" s="231"/>
      <c r="AB629" s="231"/>
      <c r="AC629" s="231"/>
      <c r="AD629" s="231"/>
      <c r="AE629" s="231"/>
      <c r="AF629" s="359"/>
      <c r="AG629" s="231"/>
      <c r="AH629" s="231"/>
      <c r="AI629" s="231"/>
      <c r="AJ629" s="231"/>
      <c r="AK629" s="233"/>
    </row>
    <row r="630" spans="1:37" ht="75" customHeight="1" x14ac:dyDescent="0.2">
      <c r="A630" s="167"/>
      <c r="B630" s="16"/>
      <c r="C630" s="638">
        <v>27</v>
      </c>
      <c r="D630" s="23" t="s">
        <v>752</v>
      </c>
      <c r="E630" s="651">
        <v>0.89949999999999997</v>
      </c>
      <c r="F630" s="647">
        <v>0.92</v>
      </c>
      <c r="G630" s="665"/>
      <c r="H630" s="673">
        <v>165</v>
      </c>
      <c r="I630" s="665" t="s">
        <v>759</v>
      </c>
      <c r="J630" s="80">
        <v>12</v>
      </c>
      <c r="K630" s="80">
        <v>12</v>
      </c>
      <c r="L630" s="20">
        <v>2017003630064</v>
      </c>
      <c r="M630" s="603" t="s">
        <v>641</v>
      </c>
      <c r="N630" s="673" t="s">
        <v>754</v>
      </c>
      <c r="O630" s="665" t="s">
        <v>755</v>
      </c>
      <c r="P630" s="673" t="s">
        <v>41</v>
      </c>
      <c r="Q630" s="346">
        <v>0</v>
      </c>
      <c r="R630" s="346">
        <v>0</v>
      </c>
      <c r="S630" s="346">
        <v>0</v>
      </c>
      <c r="T630" s="346">
        <v>0</v>
      </c>
      <c r="U630" s="346">
        <v>0</v>
      </c>
      <c r="V630" s="346">
        <v>0</v>
      </c>
      <c r="W630" s="346">
        <v>0</v>
      </c>
      <c r="X630" s="346"/>
      <c r="Y630" s="346"/>
      <c r="Z630" s="346">
        <f>20913120</f>
        <v>20913120</v>
      </c>
      <c r="AA630" s="346">
        <v>0</v>
      </c>
      <c r="AB630" s="346"/>
      <c r="AC630" s="346"/>
      <c r="AD630" s="346">
        <v>0</v>
      </c>
      <c r="AE630" s="346">
        <v>0</v>
      </c>
      <c r="AF630" s="347">
        <v>0</v>
      </c>
      <c r="AG630" s="360"/>
      <c r="AH630" s="346">
        <v>0</v>
      </c>
      <c r="AI630" s="348"/>
      <c r="AJ630" s="348"/>
      <c r="AK630" s="346">
        <f>Q630+R630+S630+T630+U630+V630+W630+X630+Y630+Z630+AA630+AB630+AC630+AD630+AE630+AF630+AG630+AH630+AI630+AJ630</f>
        <v>20913120</v>
      </c>
    </row>
    <row r="631" spans="1:37" ht="30" customHeight="1" x14ac:dyDescent="0.2">
      <c r="A631" s="167"/>
      <c r="B631" s="16"/>
      <c r="C631" s="649"/>
      <c r="D631" s="644"/>
      <c r="E631" s="649"/>
      <c r="F631" s="649"/>
      <c r="G631" s="30"/>
      <c r="H631" s="31"/>
      <c r="I631" s="30"/>
      <c r="J631" s="104"/>
      <c r="K631" s="104"/>
      <c r="L631" s="104"/>
      <c r="M631" s="604"/>
      <c r="N631" s="31"/>
      <c r="O631" s="30"/>
      <c r="P631" s="31"/>
      <c r="Q631" s="355">
        <f t="shared" ref="Q631:AK631" si="148">SUM(Q630)</f>
        <v>0</v>
      </c>
      <c r="R631" s="355">
        <f t="shared" si="148"/>
        <v>0</v>
      </c>
      <c r="S631" s="355">
        <f t="shared" si="148"/>
        <v>0</v>
      </c>
      <c r="T631" s="355">
        <f t="shared" si="148"/>
        <v>0</v>
      </c>
      <c r="U631" s="355">
        <f t="shared" si="148"/>
        <v>0</v>
      </c>
      <c r="V631" s="355">
        <f t="shared" si="148"/>
        <v>0</v>
      </c>
      <c r="W631" s="355">
        <f t="shared" si="148"/>
        <v>0</v>
      </c>
      <c r="X631" s="355">
        <f t="shared" si="148"/>
        <v>0</v>
      </c>
      <c r="Y631" s="355">
        <f t="shared" si="148"/>
        <v>0</v>
      </c>
      <c r="Z631" s="355">
        <f t="shared" si="148"/>
        <v>20913120</v>
      </c>
      <c r="AA631" s="355">
        <f t="shared" si="148"/>
        <v>0</v>
      </c>
      <c r="AB631" s="355">
        <f t="shared" si="148"/>
        <v>0</v>
      </c>
      <c r="AC631" s="355">
        <f t="shared" si="148"/>
        <v>0</v>
      </c>
      <c r="AD631" s="355">
        <f t="shared" si="148"/>
        <v>0</v>
      </c>
      <c r="AE631" s="355">
        <f t="shared" si="148"/>
        <v>0</v>
      </c>
      <c r="AF631" s="355">
        <f t="shared" si="148"/>
        <v>0</v>
      </c>
      <c r="AG631" s="355">
        <f t="shared" si="148"/>
        <v>0</v>
      </c>
      <c r="AH631" s="355">
        <f t="shared" si="148"/>
        <v>0</v>
      </c>
      <c r="AI631" s="355">
        <f t="shared" si="148"/>
        <v>0</v>
      </c>
      <c r="AJ631" s="355">
        <f t="shared" si="148"/>
        <v>0</v>
      </c>
      <c r="AK631" s="355">
        <f t="shared" si="148"/>
        <v>20913120</v>
      </c>
    </row>
    <row r="632" spans="1:37" ht="30" customHeight="1" x14ac:dyDescent="0.2">
      <c r="A632" s="16"/>
      <c r="B632" s="253"/>
      <c r="C632" s="35"/>
      <c r="D632" s="34"/>
      <c r="E632" s="35"/>
      <c r="F632" s="35"/>
      <c r="G632" s="34"/>
      <c r="H632" s="35"/>
      <c r="I632" s="34"/>
      <c r="J632" s="113"/>
      <c r="K632" s="113"/>
      <c r="L632" s="113"/>
      <c r="M632" s="605"/>
      <c r="N632" s="35"/>
      <c r="O632" s="34"/>
      <c r="P632" s="35"/>
      <c r="Q632" s="361">
        <f t="shared" ref="Q632:AK632" si="149">Q631+Q627+Q623</f>
        <v>0</v>
      </c>
      <c r="R632" s="361">
        <f t="shared" si="149"/>
        <v>0</v>
      </c>
      <c r="S632" s="361">
        <f t="shared" si="149"/>
        <v>0</v>
      </c>
      <c r="T632" s="361">
        <f t="shared" si="149"/>
        <v>0</v>
      </c>
      <c r="U632" s="361">
        <f t="shared" si="149"/>
        <v>0</v>
      </c>
      <c r="V632" s="361">
        <f t="shared" si="149"/>
        <v>0</v>
      </c>
      <c r="W632" s="361">
        <f t="shared" si="149"/>
        <v>0</v>
      </c>
      <c r="X632" s="361">
        <f t="shared" si="149"/>
        <v>0</v>
      </c>
      <c r="Y632" s="361">
        <f t="shared" si="149"/>
        <v>0</v>
      </c>
      <c r="Z632" s="361">
        <f t="shared" si="149"/>
        <v>19530925998</v>
      </c>
      <c r="AA632" s="361">
        <f t="shared" si="149"/>
        <v>1325890696</v>
      </c>
      <c r="AB632" s="361">
        <f t="shared" si="149"/>
        <v>0</v>
      </c>
      <c r="AC632" s="361">
        <f t="shared" si="149"/>
        <v>0</v>
      </c>
      <c r="AD632" s="361">
        <f t="shared" si="149"/>
        <v>0</v>
      </c>
      <c r="AE632" s="361">
        <f t="shared" si="149"/>
        <v>0</v>
      </c>
      <c r="AF632" s="361">
        <f t="shared" si="149"/>
        <v>0</v>
      </c>
      <c r="AG632" s="361">
        <f t="shared" si="149"/>
        <v>0</v>
      </c>
      <c r="AH632" s="361">
        <f t="shared" si="149"/>
        <v>0</v>
      </c>
      <c r="AI632" s="361">
        <f t="shared" si="149"/>
        <v>0</v>
      </c>
      <c r="AJ632" s="361">
        <f t="shared" si="149"/>
        <v>0</v>
      </c>
      <c r="AK632" s="361">
        <f t="shared" si="149"/>
        <v>20856816694</v>
      </c>
    </row>
    <row r="633" spans="1:37" ht="30" customHeight="1" x14ac:dyDescent="0.2">
      <c r="A633" s="16"/>
      <c r="B633" s="44"/>
      <c r="C633" s="116"/>
      <c r="D633" s="44"/>
      <c r="E633" s="116"/>
      <c r="F633" s="116"/>
      <c r="G633" s="44"/>
      <c r="H633" s="116"/>
      <c r="I633" s="44"/>
      <c r="J633" s="116"/>
      <c r="K633" s="117"/>
      <c r="L633" s="229"/>
      <c r="M633" s="74"/>
      <c r="N633" s="345"/>
      <c r="O633" s="74"/>
      <c r="P633" s="116"/>
      <c r="Q633" s="350"/>
      <c r="R633" s="350"/>
      <c r="S633" s="350"/>
      <c r="T633" s="350"/>
      <c r="U633" s="350"/>
      <c r="V633" s="350"/>
      <c r="W633" s="350"/>
      <c r="X633" s="350"/>
      <c r="Y633" s="350"/>
      <c r="Z633" s="350"/>
      <c r="AA633" s="350"/>
      <c r="AB633" s="350"/>
      <c r="AC633" s="350"/>
      <c r="AD633" s="350"/>
      <c r="AE633" s="350"/>
      <c r="AF633" s="352"/>
      <c r="AG633" s="350"/>
      <c r="AH633" s="350"/>
      <c r="AI633" s="350"/>
      <c r="AJ633" s="350"/>
      <c r="AK633" s="354"/>
    </row>
    <row r="634" spans="1:37" ht="30" customHeight="1" x14ac:dyDescent="0.2">
      <c r="A634" s="16"/>
      <c r="B634" s="287">
        <v>14</v>
      </c>
      <c r="C634" s="11" t="s">
        <v>760</v>
      </c>
      <c r="D634" s="12"/>
      <c r="E634" s="12"/>
      <c r="F634" s="12"/>
      <c r="G634" s="12"/>
      <c r="H634" s="13"/>
      <c r="I634" s="12"/>
      <c r="J634" s="12"/>
      <c r="K634" s="94"/>
      <c r="L634" s="94"/>
      <c r="M634" s="579"/>
      <c r="N634" s="13"/>
      <c r="O634" s="12"/>
      <c r="P634" s="12"/>
      <c r="Q634" s="357"/>
      <c r="R634" s="357"/>
      <c r="S634" s="357"/>
      <c r="T634" s="357"/>
      <c r="U634" s="357"/>
      <c r="V634" s="357"/>
      <c r="W634" s="357"/>
      <c r="X634" s="357"/>
      <c r="Y634" s="357"/>
      <c r="Z634" s="357"/>
      <c r="AA634" s="357"/>
      <c r="AB634" s="357"/>
      <c r="AC634" s="357"/>
      <c r="AD634" s="357"/>
      <c r="AE634" s="357"/>
      <c r="AF634" s="358"/>
      <c r="AG634" s="357"/>
      <c r="AH634" s="357"/>
      <c r="AI634" s="357"/>
      <c r="AJ634" s="357"/>
      <c r="AK634" s="362"/>
    </row>
    <row r="635" spans="1:37" ht="30" customHeight="1" x14ac:dyDescent="0.2">
      <c r="A635" s="167"/>
      <c r="B635" s="16"/>
      <c r="C635" s="648"/>
      <c r="D635" s="642"/>
      <c r="E635" s="648"/>
      <c r="F635" s="648"/>
      <c r="G635" s="181">
        <v>50</v>
      </c>
      <c r="H635" s="51" t="s">
        <v>761</v>
      </c>
      <c r="I635" s="51"/>
      <c r="J635" s="51"/>
      <c r="K635" s="294"/>
      <c r="L635" s="294"/>
      <c r="M635" s="581"/>
      <c r="N635" s="136"/>
      <c r="O635" s="51"/>
      <c r="P635" s="51"/>
      <c r="Q635" s="231"/>
      <c r="R635" s="231"/>
      <c r="S635" s="231"/>
      <c r="T635" s="231"/>
      <c r="U635" s="231"/>
      <c r="V635" s="231"/>
      <c r="W635" s="231"/>
      <c r="X635" s="231"/>
      <c r="Y635" s="231"/>
      <c r="Z635" s="231"/>
      <c r="AA635" s="231"/>
      <c r="AB635" s="231"/>
      <c r="AC635" s="231"/>
      <c r="AD635" s="231"/>
      <c r="AE635" s="231"/>
      <c r="AF635" s="359"/>
      <c r="AG635" s="231"/>
      <c r="AH635" s="231"/>
      <c r="AI635" s="231"/>
      <c r="AJ635" s="231"/>
      <c r="AK635" s="233"/>
    </row>
    <row r="636" spans="1:37" ht="90" customHeight="1" x14ac:dyDescent="0.2">
      <c r="A636" s="167"/>
      <c r="B636" s="643"/>
      <c r="C636" s="732">
        <v>27</v>
      </c>
      <c r="D636" s="735" t="s">
        <v>752</v>
      </c>
      <c r="E636" s="750">
        <v>0.89949999999999997</v>
      </c>
      <c r="F636" s="752">
        <v>0.92</v>
      </c>
      <c r="G636" s="731"/>
      <c r="H636" s="673">
        <v>166</v>
      </c>
      <c r="I636" s="665" t="s">
        <v>762</v>
      </c>
      <c r="J636" s="80">
        <v>1</v>
      </c>
      <c r="K636" s="80">
        <v>1</v>
      </c>
      <c r="L636" s="743">
        <v>2017003630111</v>
      </c>
      <c r="M636" s="787" t="s">
        <v>641</v>
      </c>
      <c r="N636" s="731" t="s">
        <v>763</v>
      </c>
      <c r="O636" s="734" t="s">
        <v>922</v>
      </c>
      <c r="P636" s="673" t="s">
        <v>41</v>
      </c>
      <c r="Q636" s="346">
        <v>0</v>
      </c>
      <c r="R636" s="346">
        <v>0</v>
      </c>
      <c r="S636" s="346">
        <v>0</v>
      </c>
      <c r="T636" s="346">
        <v>0</v>
      </c>
      <c r="U636" s="346">
        <v>0</v>
      </c>
      <c r="V636" s="346">
        <v>0</v>
      </c>
      <c r="W636" s="346">
        <v>0</v>
      </c>
      <c r="X636" s="346"/>
      <c r="Y636" s="346"/>
      <c r="Z636" s="346">
        <v>0</v>
      </c>
      <c r="AA636" s="346">
        <v>0</v>
      </c>
      <c r="AB636" s="346"/>
      <c r="AC636" s="346"/>
      <c r="AD636" s="346">
        <v>0</v>
      </c>
      <c r="AE636" s="346">
        <v>0</v>
      </c>
      <c r="AF636" s="347">
        <v>0</v>
      </c>
      <c r="AG636" s="360"/>
      <c r="AH636" s="346"/>
      <c r="AI636" s="348"/>
      <c r="AJ636" s="348">
        <v>0</v>
      </c>
      <c r="AK636" s="346">
        <f>Q636+R636+S636+T636+U636+V636+W636+X636+Y636+Z636+AA636+AB636+AC636+AD636+AE636+AF636+AG636+AH636+AI636+AJ636</f>
        <v>0</v>
      </c>
    </row>
    <row r="637" spans="1:37" ht="78" customHeight="1" x14ac:dyDescent="0.2">
      <c r="A637" s="167"/>
      <c r="B637" s="643"/>
      <c r="C637" s="732"/>
      <c r="D637" s="735"/>
      <c r="E637" s="750"/>
      <c r="F637" s="752"/>
      <c r="G637" s="732"/>
      <c r="H637" s="673">
        <v>167</v>
      </c>
      <c r="I637" s="665" t="s">
        <v>764</v>
      </c>
      <c r="J637" s="80">
        <v>15</v>
      </c>
      <c r="K637" s="80">
        <v>15</v>
      </c>
      <c r="L637" s="744"/>
      <c r="M637" s="788"/>
      <c r="N637" s="732"/>
      <c r="O637" s="735"/>
      <c r="P637" s="673" t="s">
        <v>41</v>
      </c>
      <c r="Q637" s="346">
        <v>0</v>
      </c>
      <c r="R637" s="346">
        <v>0</v>
      </c>
      <c r="S637" s="346">
        <v>0</v>
      </c>
      <c r="T637" s="346">
        <v>0</v>
      </c>
      <c r="U637" s="346">
        <v>0</v>
      </c>
      <c r="V637" s="346">
        <v>0</v>
      </c>
      <c r="W637" s="346"/>
      <c r="X637" s="374"/>
      <c r="Y637" s="540">
        <f>8058147089+544912319-128425540-113253433+91742160+79497066</f>
        <v>8532619661</v>
      </c>
      <c r="Z637" s="346">
        <f>3104580734+636624237</f>
        <v>3741204971</v>
      </c>
      <c r="AA637" s="346">
        <v>500</v>
      </c>
      <c r="AB637" s="346"/>
      <c r="AC637" s="346"/>
      <c r="AD637" s="346">
        <v>0</v>
      </c>
      <c r="AE637" s="346">
        <v>0</v>
      </c>
      <c r="AF637" s="347">
        <v>0</v>
      </c>
      <c r="AG637" s="360"/>
      <c r="AH637" s="346"/>
      <c r="AI637" s="348"/>
      <c r="AJ637" s="546">
        <f>1065586500+68256639+5900697+290400000+382475991+129917139+1500000-34387140+9241365080</f>
        <v>11151014906</v>
      </c>
      <c r="AK637" s="346">
        <f>Q637+R637+S637+T637+U637+V637+W637+X637+Y637+Z637+AA637+AB637+AC637+AD637+AE637+AF637+AG637+AH637+AI637+AJ637</f>
        <v>23424840038</v>
      </c>
    </row>
    <row r="638" spans="1:37" ht="90" customHeight="1" x14ac:dyDescent="0.2">
      <c r="A638" s="167"/>
      <c r="B638" s="643"/>
      <c r="C638" s="732"/>
      <c r="D638" s="735"/>
      <c r="E638" s="750"/>
      <c r="F638" s="752"/>
      <c r="G638" s="733"/>
      <c r="H638" s="673">
        <v>168</v>
      </c>
      <c r="I638" s="665" t="s">
        <v>765</v>
      </c>
      <c r="J638" s="80">
        <v>7</v>
      </c>
      <c r="K638" s="80">
        <v>14</v>
      </c>
      <c r="L638" s="745"/>
      <c r="M638" s="789"/>
      <c r="N638" s="733"/>
      <c r="O638" s="736"/>
      <c r="P638" s="673" t="s">
        <v>41</v>
      </c>
      <c r="Q638" s="346">
        <v>0</v>
      </c>
      <c r="R638" s="346">
        <v>0</v>
      </c>
      <c r="S638" s="346">
        <v>0</v>
      </c>
      <c r="T638" s="346">
        <v>0</v>
      </c>
      <c r="U638" s="346">
        <v>0</v>
      </c>
      <c r="V638" s="346">
        <v>0</v>
      </c>
      <c r="W638" s="346">
        <v>0</v>
      </c>
      <c r="X638" s="346"/>
      <c r="Y638" s="346"/>
      <c r="Z638" s="346"/>
      <c r="AA638" s="346">
        <v>0</v>
      </c>
      <c r="AB638" s="346"/>
      <c r="AC638" s="346"/>
      <c r="AD638" s="346">
        <v>0</v>
      </c>
      <c r="AE638" s="346">
        <v>0</v>
      </c>
      <c r="AF638" s="347">
        <v>0</v>
      </c>
      <c r="AG638" s="360"/>
      <c r="AH638" s="346">
        <v>0</v>
      </c>
      <c r="AI638" s="348"/>
      <c r="AJ638" s="348">
        <v>0</v>
      </c>
      <c r="AK638" s="346">
        <f>Q638+R638+S638+T638+U638+V638+W638+X638+Y638+Z638+AA638+AB638+AC638+AD638+AE638+AF638+AG638+AH638+AI638+AJ638</f>
        <v>0</v>
      </c>
    </row>
    <row r="639" spans="1:37" ht="30" customHeight="1" x14ac:dyDescent="0.2">
      <c r="A639" s="167"/>
      <c r="B639" s="643"/>
      <c r="C639" s="649"/>
      <c r="D639" s="644"/>
      <c r="E639" s="649"/>
      <c r="F639" s="649"/>
      <c r="G639" s="30"/>
      <c r="H639" s="31"/>
      <c r="I639" s="30"/>
      <c r="J639" s="104"/>
      <c r="K639" s="104"/>
      <c r="L639" s="104"/>
      <c r="M639" s="604"/>
      <c r="N639" s="31"/>
      <c r="O639" s="30"/>
      <c r="P639" s="31"/>
      <c r="Q639" s="355">
        <f t="shared" ref="Q639:AJ639" si="150">SUM(Q636:Q638)</f>
        <v>0</v>
      </c>
      <c r="R639" s="355">
        <f t="shared" si="150"/>
        <v>0</v>
      </c>
      <c r="S639" s="355">
        <f t="shared" si="150"/>
        <v>0</v>
      </c>
      <c r="T639" s="355">
        <f t="shared" si="150"/>
        <v>0</v>
      </c>
      <c r="U639" s="355">
        <f t="shared" si="150"/>
        <v>0</v>
      </c>
      <c r="V639" s="355">
        <f t="shared" si="150"/>
        <v>0</v>
      </c>
      <c r="W639" s="355">
        <f t="shared" si="150"/>
        <v>0</v>
      </c>
      <c r="X639" s="355">
        <f t="shared" si="150"/>
        <v>0</v>
      </c>
      <c r="Y639" s="355">
        <f t="shared" si="150"/>
        <v>8532619661</v>
      </c>
      <c r="Z639" s="355">
        <f t="shared" si="150"/>
        <v>3741204971</v>
      </c>
      <c r="AA639" s="355">
        <f t="shared" si="150"/>
        <v>500</v>
      </c>
      <c r="AB639" s="355">
        <f t="shared" si="150"/>
        <v>0</v>
      </c>
      <c r="AC639" s="355">
        <f t="shared" si="150"/>
        <v>0</v>
      </c>
      <c r="AD639" s="355">
        <f t="shared" si="150"/>
        <v>0</v>
      </c>
      <c r="AE639" s="355">
        <f t="shared" si="150"/>
        <v>0</v>
      </c>
      <c r="AF639" s="355">
        <f t="shared" si="150"/>
        <v>0</v>
      </c>
      <c r="AG639" s="355">
        <f t="shared" si="150"/>
        <v>0</v>
      </c>
      <c r="AH639" s="355">
        <f t="shared" si="150"/>
        <v>0</v>
      </c>
      <c r="AI639" s="355">
        <f t="shared" si="150"/>
        <v>0</v>
      </c>
      <c r="AJ639" s="355">
        <f t="shared" si="150"/>
        <v>11151014906</v>
      </c>
      <c r="AK639" s="355">
        <f>SUM(AK636:AK638)</f>
        <v>23424840038</v>
      </c>
    </row>
    <row r="640" spans="1:37" ht="30" customHeight="1" x14ac:dyDescent="0.2">
      <c r="A640" s="167"/>
      <c r="B640" s="643"/>
      <c r="C640" s="116"/>
      <c r="D640" s="44"/>
      <c r="E640" s="116"/>
      <c r="F640" s="116"/>
      <c r="G640" s="44"/>
      <c r="H640" s="116"/>
      <c r="I640" s="44"/>
      <c r="J640" s="116"/>
      <c r="K640" s="117"/>
      <c r="L640" s="229"/>
      <c r="M640" s="74"/>
      <c r="N640" s="345"/>
      <c r="O640" s="74"/>
      <c r="P640" s="116"/>
      <c r="Q640" s="350"/>
      <c r="R640" s="351"/>
      <c r="S640" s="350"/>
      <c r="T640" s="350"/>
      <c r="U640" s="350"/>
      <c r="V640" s="350"/>
      <c r="W640" s="350"/>
      <c r="X640" s="350"/>
      <c r="Y640" s="350"/>
      <c r="Z640" s="350"/>
      <c r="AA640" s="350"/>
      <c r="AB640" s="350"/>
      <c r="AC640" s="350"/>
      <c r="AD640" s="350"/>
      <c r="AE640" s="350"/>
      <c r="AF640" s="352"/>
      <c r="AG640" s="353"/>
      <c r="AH640" s="350"/>
      <c r="AI640" s="350"/>
      <c r="AJ640" s="351"/>
      <c r="AK640" s="346" t="s">
        <v>56</v>
      </c>
    </row>
    <row r="641" spans="1:37" ht="30" customHeight="1" x14ac:dyDescent="0.2">
      <c r="A641" s="167"/>
      <c r="B641" s="643"/>
      <c r="C641" s="648"/>
      <c r="D641" s="642"/>
      <c r="E641" s="648"/>
      <c r="F641" s="648"/>
      <c r="G641" s="181">
        <v>51</v>
      </c>
      <c r="H641" s="51" t="s">
        <v>766</v>
      </c>
      <c r="I641" s="51"/>
      <c r="J641" s="51"/>
      <c r="K641" s="294"/>
      <c r="L641" s="294"/>
      <c r="M641" s="581"/>
      <c r="N641" s="136"/>
      <c r="O641" s="51"/>
      <c r="P641" s="51"/>
      <c r="Q641" s="231"/>
      <c r="R641" s="231"/>
      <c r="S641" s="231"/>
      <c r="T641" s="231"/>
      <c r="U641" s="231"/>
      <c r="V641" s="231"/>
      <c r="W641" s="231"/>
      <c r="X641" s="231"/>
      <c r="Y641" s="231"/>
      <c r="Z641" s="231"/>
      <c r="AA641" s="231"/>
      <c r="AB641" s="231"/>
      <c r="AC641" s="231"/>
      <c r="AD641" s="231"/>
      <c r="AE641" s="231"/>
      <c r="AF641" s="359"/>
      <c r="AG641" s="231"/>
      <c r="AH641" s="231"/>
      <c r="AI641" s="231"/>
      <c r="AJ641" s="231"/>
      <c r="AK641" s="444"/>
    </row>
    <row r="642" spans="1:37" ht="78.75" customHeight="1" x14ac:dyDescent="0.2">
      <c r="A642" s="167"/>
      <c r="B642" s="643"/>
      <c r="C642" s="638" t="s">
        <v>673</v>
      </c>
      <c r="D642" s="643" t="s">
        <v>767</v>
      </c>
      <c r="E642" s="647">
        <v>0.6</v>
      </c>
      <c r="F642" s="647">
        <v>1</v>
      </c>
      <c r="G642" s="665"/>
      <c r="H642" s="673">
        <v>169</v>
      </c>
      <c r="I642" s="665" t="s">
        <v>768</v>
      </c>
      <c r="J642" s="80">
        <v>8</v>
      </c>
      <c r="K642" s="80">
        <v>12</v>
      </c>
      <c r="L642" s="20">
        <v>2017003630109</v>
      </c>
      <c r="M642" s="603" t="s">
        <v>641</v>
      </c>
      <c r="N642" s="673" t="s">
        <v>769</v>
      </c>
      <c r="O642" s="665" t="s">
        <v>923</v>
      </c>
      <c r="P642" s="673" t="s">
        <v>41</v>
      </c>
      <c r="Q642" s="346">
        <v>0</v>
      </c>
      <c r="R642" s="346">
        <v>0</v>
      </c>
      <c r="S642" s="346">
        <v>0</v>
      </c>
      <c r="T642" s="346">
        <v>0</v>
      </c>
      <c r="U642" s="346">
        <v>0</v>
      </c>
      <c r="V642" s="346">
        <v>0</v>
      </c>
      <c r="W642" s="346">
        <v>0</v>
      </c>
      <c r="X642" s="346"/>
      <c r="Y642" s="346"/>
      <c r="Z642" s="374"/>
      <c r="AA642" s="346">
        <v>0</v>
      </c>
      <c r="AB642" s="346"/>
      <c r="AC642" s="346"/>
      <c r="AD642" s="346">
        <v>0</v>
      </c>
      <c r="AE642" s="346">
        <v>0</v>
      </c>
      <c r="AF642" s="346">
        <v>44149920</v>
      </c>
      <c r="AG642" s="360"/>
      <c r="AH642" s="346">
        <v>0</v>
      </c>
      <c r="AI642" s="348"/>
      <c r="AJ642" s="348"/>
      <c r="AK642" s="346">
        <f>Q642+R642+S642+T642+U642+V642+W642+X642+Y642+Z642+AA642+AB642+AC642+AD642+AE642+AF642+AG642+AH642+AI642+AJ642</f>
        <v>44149920</v>
      </c>
    </row>
    <row r="643" spans="1:37" ht="30" customHeight="1" x14ac:dyDescent="0.2">
      <c r="A643" s="167"/>
      <c r="B643" s="643"/>
      <c r="C643" s="649"/>
      <c r="D643" s="644"/>
      <c r="E643" s="649"/>
      <c r="F643" s="649"/>
      <c r="G643" s="30"/>
      <c r="H643" s="31"/>
      <c r="I643" s="30"/>
      <c r="J643" s="104"/>
      <c r="K643" s="104"/>
      <c r="L643" s="104"/>
      <c r="M643" s="604"/>
      <c r="N643" s="31"/>
      <c r="O643" s="30"/>
      <c r="P643" s="31"/>
      <c r="Q643" s="355">
        <f t="shared" ref="Q643:AK643" si="151">Q642</f>
        <v>0</v>
      </c>
      <c r="R643" s="355">
        <f t="shared" si="151"/>
        <v>0</v>
      </c>
      <c r="S643" s="355">
        <f t="shared" si="151"/>
        <v>0</v>
      </c>
      <c r="T643" s="355">
        <f t="shared" si="151"/>
        <v>0</v>
      </c>
      <c r="U643" s="355">
        <f t="shared" si="151"/>
        <v>0</v>
      </c>
      <c r="V643" s="355">
        <f t="shared" si="151"/>
        <v>0</v>
      </c>
      <c r="W643" s="355">
        <f t="shared" si="151"/>
        <v>0</v>
      </c>
      <c r="X643" s="355">
        <f t="shared" si="151"/>
        <v>0</v>
      </c>
      <c r="Y643" s="355">
        <f t="shared" si="151"/>
        <v>0</v>
      </c>
      <c r="Z643" s="355">
        <f t="shared" si="151"/>
        <v>0</v>
      </c>
      <c r="AA643" s="355">
        <f t="shared" si="151"/>
        <v>0</v>
      </c>
      <c r="AB643" s="355">
        <f t="shared" si="151"/>
        <v>0</v>
      </c>
      <c r="AC643" s="355">
        <f t="shared" si="151"/>
        <v>0</v>
      </c>
      <c r="AD643" s="355">
        <f t="shared" si="151"/>
        <v>0</v>
      </c>
      <c r="AE643" s="355">
        <f t="shared" si="151"/>
        <v>0</v>
      </c>
      <c r="AF643" s="355">
        <f t="shared" si="151"/>
        <v>44149920</v>
      </c>
      <c r="AG643" s="355">
        <f t="shared" si="151"/>
        <v>0</v>
      </c>
      <c r="AH643" s="355">
        <f t="shared" si="151"/>
        <v>0</v>
      </c>
      <c r="AI643" s="355">
        <f t="shared" si="151"/>
        <v>0</v>
      </c>
      <c r="AJ643" s="355">
        <f t="shared" si="151"/>
        <v>0</v>
      </c>
      <c r="AK643" s="355">
        <f t="shared" si="151"/>
        <v>44149920</v>
      </c>
    </row>
    <row r="644" spans="1:37" ht="30" customHeight="1" x14ac:dyDescent="0.2">
      <c r="A644" s="167"/>
      <c r="B644" s="643"/>
      <c r="C644" s="116"/>
      <c r="D644" s="44"/>
      <c r="E644" s="116"/>
      <c r="F644" s="116"/>
      <c r="G644" s="44"/>
      <c r="H644" s="116"/>
      <c r="I644" s="44"/>
      <c r="J644" s="116"/>
      <c r="K644" s="117"/>
      <c r="L644" s="229"/>
      <c r="M644" s="74"/>
      <c r="N644" s="345"/>
      <c r="O644" s="74"/>
      <c r="P644" s="116"/>
      <c r="Q644" s="350"/>
      <c r="R644" s="350"/>
      <c r="S644" s="350"/>
      <c r="T644" s="350"/>
      <c r="U644" s="350"/>
      <c r="V644" s="350"/>
      <c r="W644" s="350"/>
      <c r="X644" s="350"/>
      <c r="Y644" s="350"/>
      <c r="Z644" s="350"/>
      <c r="AA644" s="350"/>
      <c r="AB644" s="350"/>
      <c r="AC644" s="350"/>
      <c r="AD644" s="350"/>
      <c r="AE644" s="350"/>
      <c r="AF644" s="352"/>
      <c r="AG644" s="353"/>
      <c r="AH644" s="350"/>
      <c r="AI644" s="350"/>
      <c r="AJ644" s="350"/>
      <c r="AK644" s="346"/>
    </row>
    <row r="645" spans="1:37" ht="31.5" customHeight="1" x14ac:dyDescent="0.2">
      <c r="A645" s="167"/>
      <c r="B645" s="643"/>
      <c r="C645" s="648"/>
      <c r="D645" s="642"/>
      <c r="E645" s="648"/>
      <c r="F645" s="648"/>
      <c r="G645" s="181">
        <v>52</v>
      </c>
      <c r="H645" s="51" t="s">
        <v>770</v>
      </c>
      <c r="I645" s="51"/>
      <c r="J645" s="51"/>
      <c r="K645" s="294"/>
      <c r="L645" s="294"/>
      <c r="M645" s="581"/>
      <c r="N645" s="136"/>
      <c r="O645" s="51"/>
      <c r="P645" s="51"/>
      <c r="Q645" s="231"/>
      <c r="R645" s="231"/>
      <c r="S645" s="231"/>
      <c r="T645" s="231"/>
      <c r="U645" s="231"/>
      <c r="V645" s="231"/>
      <c r="W645" s="231"/>
      <c r="X645" s="231"/>
      <c r="Y645" s="231"/>
      <c r="Z645" s="231"/>
      <c r="AA645" s="231"/>
      <c r="AB645" s="231"/>
      <c r="AC645" s="231"/>
      <c r="AD645" s="231"/>
      <c r="AE645" s="231"/>
      <c r="AF645" s="359"/>
      <c r="AG645" s="231"/>
      <c r="AH645" s="231"/>
      <c r="AI645" s="231"/>
      <c r="AJ645" s="231"/>
      <c r="AK645" s="444"/>
    </row>
    <row r="646" spans="1:37" ht="65.25" customHeight="1" x14ac:dyDescent="0.2">
      <c r="A646" s="167"/>
      <c r="B646" s="643"/>
      <c r="C646" s="732">
        <v>28</v>
      </c>
      <c r="D646" s="735" t="s">
        <v>771</v>
      </c>
      <c r="E646" s="752">
        <v>0.5</v>
      </c>
      <c r="F646" s="752">
        <v>1</v>
      </c>
      <c r="G646" s="17"/>
      <c r="H646" s="673">
        <v>170</v>
      </c>
      <c r="I646" s="665" t="s">
        <v>772</v>
      </c>
      <c r="J646" s="295">
        <v>14</v>
      </c>
      <c r="K646" s="295">
        <v>14</v>
      </c>
      <c r="L646" s="743">
        <v>2017003630105</v>
      </c>
      <c r="M646" s="778" t="s">
        <v>641</v>
      </c>
      <c r="N646" s="731" t="s">
        <v>773</v>
      </c>
      <c r="O646" s="734" t="s">
        <v>774</v>
      </c>
      <c r="P646" s="673" t="s">
        <v>41</v>
      </c>
      <c r="Q646" s="346">
        <v>0</v>
      </c>
      <c r="R646" s="346">
        <v>0</v>
      </c>
      <c r="S646" s="346">
        <v>0</v>
      </c>
      <c r="T646" s="346">
        <v>0</v>
      </c>
      <c r="U646" s="346">
        <v>0</v>
      </c>
      <c r="V646" s="346">
        <v>0</v>
      </c>
      <c r="W646" s="346">
        <v>0</v>
      </c>
      <c r="X646" s="346"/>
      <c r="Y646" s="346"/>
      <c r="Z646" s="346"/>
      <c r="AA646" s="346">
        <v>0</v>
      </c>
      <c r="AB646" s="346">
        <v>0</v>
      </c>
      <c r="AC646" s="346">
        <v>0</v>
      </c>
      <c r="AD646" s="346">
        <v>0</v>
      </c>
      <c r="AE646" s="346">
        <v>0</v>
      </c>
      <c r="AF646" s="347">
        <v>138195556</v>
      </c>
      <c r="AG646" s="360"/>
      <c r="AH646" s="346">
        <v>0</v>
      </c>
      <c r="AI646" s="348"/>
      <c r="AJ646" s="348"/>
      <c r="AK646" s="346">
        <f>Q646+R646+S646+T646+U646+V646+W646+X646+Y646+Z646+AA646+AB646+AC646+AD646+AE646+AF646+AG646+AH646+AI646+AJ646</f>
        <v>138195556</v>
      </c>
    </row>
    <row r="647" spans="1:37" ht="65.25" customHeight="1" x14ac:dyDescent="0.2">
      <c r="A647" s="167"/>
      <c r="B647" s="643"/>
      <c r="C647" s="733"/>
      <c r="D647" s="736"/>
      <c r="E647" s="790"/>
      <c r="F647" s="790"/>
      <c r="G647" s="23"/>
      <c r="H647" s="673">
        <v>171</v>
      </c>
      <c r="I647" s="665" t="s">
        <v>775</v>
      </c>
      <c r="J647" s="295">
        <v>1</v>
      </c>
      <c r="K647" s="295">
        <v>1</v>
      </c>
      <c r="L647" s="745"/>
      <c r="M647" s="780"/>
      <c r="N647" s="733"/>
      <c r="O647" s="736"/>
      <c r="P647" s="673" t="s">
        <v>41</v>
      </c>
      <c r="Q647" s="346">
        <v>0</v>
      </c>
      <c r="R647" s="346">
        <v>0</v>
      </c>
      <c r="S647" s="346">
        <v>0</v>
      </c>
      <c r="T647" s="346">
        <v>0</v>
      </c>
      <c r="U647" s="346">
        <v>0</v>
      </c>
      <c r="V647" s="346">
        <v>0</v>
      </c>
      <c r="W647" s="346">
        <v>0</v>
      </c>
      <c r="X647" s="346"/>
      <c r="Y647" s="346"/>
      <c r="Z647" s="346"/>
      <c r="AA647" s="346">
        <v>0</v>
      </c>
      <c r="AB647" s="346">
        <v>0</v>
      </c>
      <c r="AC647" s="346">
        <v>0</v>
      </c>
      <c r="AD647" s="346">
        <v>0</v>
      </c>
      <c r="AE647" s="346">
        <v>0</v>
      </c>
      <c r="AF647" s="347">
        <v>0</v>
      </c>
      <c r="AG647" s="360"/>
      <c r="AH647" s="346">
        <v>0</v>
      </c>
      <c r="AI647" s="348"/>
      <c r="AJ647" s="348"/>
      <c r="AK647" s="346">
        <f>Q647+R647+S647+T647+U647+V647+W647+X647+Y647+Z647+AA647+AB647+AC647+AD647+AE647+AF647+AG647+AH647+AI647+AJ647</f>
        <v>0</v>
      </c>
    </row>
    <row r="648" spans="1:37" ht="65.25" customHeight="1" x14ac:dyDescent="0.2">
      <c r="A648" s="167"/>
      <c r="B648" s="643"/>
      <c r="C648" s="648">
        <v>28</v>
      </c>
      <c r="D648" s="642" t="s">
        <v>771</v>
      </c>
      <c r="E648" s="667">
        <v>0.5</v>
      </c>
      <c r="F648" s="667">
        <v>1</v>
      </c>
      <c r="G648" s="65"/>
      <c r="H648" s="673">
        <v>172</v>
      </c>
      <c r="I648" s="665" t="s">
        <v>776</v>
      </c>
      <c r="J648" s="80">
        <v>12</v>
      </c>
      <c r="K648" s="80">
        <v>12</v>
      </c>
      <c r="L648" s="20">
        <v>2017003630101</v>
      </c>
      <c r="M648" s="603" t="s">
        <v>641</v>
      </c>
      <c r="N648" s="673" t="s">
        <v>777</v>
      </c>
      <c r="O648" s="665" t="s">
        <v>924</v>
      </c>
      <c r="P648" s="673" t="s">
        <v>41</v>
      </c>
      <c r="Q648" s="346">
        <v>0</v>
      </c>
      <c r="R648" s="346">
        <v>0</v>
      </c>
      <c r="S648" s="346">
        <v>0</v>
      </c>
      <c r="T648" s="346">
        <v>0</v>
      </c>
      <c r="U648" s="346">
        <v>0</v>
      </c>
      <c r="V648" s="346">
        <v>0</v>
      </c>
      <c r="W648" s="346">
        <v>0</v>
      </c>
      <c r="X648" s="346"/>
      <c r="Y648" s="346"/>
      <c r="Z648" s="346">
        <v>50000000</v>
      </c>
      <c r="AA648" s="346">
        <v>0</v>
      </c>
      <c r="AB648" s="346">
        <v>0</v>
      </c>
      <c r="AC648" s="346">
        <v>0</v>
      </c>
      <c r="AD648" s="346">
        <v>0</v>
      </c>
      <c r="AE648" s="346">
        <v>0</v>
      </c>
      <c r="AF648" s="547">
        <f>249000000+6004444+100000000+60000000</f>
        <v>415004444</v>
      </c>
      <c r="AG648" s="360"/>
      <c r="AH648" s="346">
        <v>0</v>
      </c>
      <c r="AI648" s="348"/>
      <c r="AJ648" s="348"/>
      <c r="AK648" s="346">
        <f>Q648+R648+S648+T648+U648+V648+W648+X648+Y648+Z648+AA648+AB648+AC648+AD648+AE648+AF648+AG648+AH648+AI648+AJ648</f>
        <v>465004444</v>
      </c>
    </row>
    <row r="649" spans="1:37" ht="30" customHeight="1" x14ac:dyDescent="0.2">
      <c r="A649" s="167"/>
      <c r="B649" s="643"/>
      <c r="C649" s="649"/>
      <c r="D649" s="644"/>
      <c r="E649" s="649"/>
      <c r="F649" s="649"/>
      <c r="G649" s="30"/>
      <c r="H649" s="31"/>
      <c r="I649" s="30"/>
      <c r="J649" s="104"/>
      <c r="K649" s="217"/>
      <c r="L649" s="217"/>
      <c r="M649" s="604"/>
      <c r="N649" s="31"/>
      <c r="O649" s="30"/>
      <c r="P649" s="31"/>
      <c r="Q649" s="355">
        <f t="shared" ref="Q649:AK649" si="152">SUM(Q646:Q648)</f>
        <v>0</v>
      </c>
      <c r="R649" s="355">
        <f t="shared" si="152"/>
        <v>0</v>
      </c>
      <c r="S649" s="355">
        <f t="shared" si="152"/>
        <v>0</v>
      </c>
      <c r="T649" s="355">
        <f t="shared" si="152"/>
        <v>0</v>
      </c>
      <c r="U649" s="355">
        <f t="shared" si="152"/>
        <v>0</v>
      </c>
      <c r="V649" s="355">
        <f t="shared" si="152"/>
        <v>0</v>
      </c>
      <c r="W649" s="355">
        <f t="shared" si="152"/>
        <v>0</v>
      </c>
      <c r="X649" s="355">
        <f t="shared" si="152"/>
        <v>0</v>
      </c>
      <c r="Y649" s="355">
        <f t="shared" si="152"/>
        <v>0</v>
      </c>
      <c r="Z649" s="355">
        <f t="shared" si="152"/>
        <v>50000000</v>
      </c>
      <c r="AA649" s="355">
        <f t="shared" si="152"/>
        <v>0</v>
      </c>
      <c r="AB649" s="355">
        <f t="shared" si="152"/>
        <v>0</v>
      </c>
      <c r="AC649" s="355">
        <f t="shared" si="152"/>
        <v>0</v>
      </c>
      <c r="AD649" s="355">
        <f t="shared" si="152"/>
        <v>0</v>
      </c>
      <c r="AE649" s="355">
        <f t="shared" si="152"/>
        <v>0</v>
      </c>
      <c r="AF649" s="355">
        <f t="shared" si="152"/>
        <v>553200000</v>
      </c>
      <c r="AG649" s="355">
        <f t="shared" si="152"/>
        <v>0</v>
      </c>
      <c r="AH649" s="355">
        <f t="shared" si="152"/>
        <v>0</v>
      </c>
      <c r="AI649" s="355">
        <f t="shared" si="152"/>
        <v>0</v>
      </c>
      <c r="AJ649" s="355">
        <f t="shared" si="152"/>
        <v>0</v>
      </c>
      <c r="AK649" s="355">
        <f t="shared" si="152"/>
        <v>603200000</v>
      </c>
    </row>
    <row r="650" spans="1:37" ht="30" customHeight="1" x14ac:dyDescent="0.2">
      <c r="A650" s="167"/>
      <c r="B650" s="643"/>
      <c r="C650" s="116"/>
      <c r="D650" s="44"/>
      <c r="E650" s="116"/>
      <c r="F650" s="116"/>
      <c r="G650" s="44"/>
      <c r="H650" s="116"/>
      <c r="I650" s="44"/>
      <c r="J650" s="116"/>
      <c r="K650" s="219"/>
      <c r="L650" s="293"/>
      <c r="M650" s="74"/>
      <c r="N650" s="345"/>
      <c r="O650" s="74"/>
      <c r="P650" s="116"/>
      <c r="Q650" s="350"/>
      <c r="R650" s="350"/>
      <c r="S650" s="350"/>
      <c r="T650" s="350"/>
      <c r="U650" s="350"/>
      <c r="V650" s="350"/>
      <c r="W650" s="350"/>
      <c r="X650" s="350"/>
      <c r="Y650" s="350"/>
      <c r="Z650" s="350"/>
      <c r="AA650" s="350"/>
      <c r="AB650" s="350"/>
      <c r="AC650" s="350"/>
      <c r="AD650" s="350"/>
      <c r="AE650" s="350"/>
      <c r="AF650" s="352"/>
      <c r="AG650" s="353"/>
      <c r="AH650" s="350"/>
      <c r="AI650" s="350"/>
      <c r="AJ650" s="350"/>
      <c r="AK650" s="354"/>
    </row>
    <row r="651" spans="1:37" ht="30" customHeight="1" x14ac:dyDescent="0.2">
      <c r="A651" s="167"/>
      <c r="B651" s="643"/>
      <c r="C651" s="648"/>
      <c r="D651" s="642"/>
      <c r="E651" s="648"/>
      <c r="F651" s="648"/>
      <c r="G651" s="181">
        <v>53</v>
      </c>
      <c r="H651" s="52" t="s">
        <v>778</v>
      </c>
      <c r="I651" s="52"/>
      <c r="J651" s="52"/>
      <c r="K651" s="64"/>
      <c r="L651" s="64"/>
      <c r="M651" s="581"/>
      <c r="N651" s="136"/>
      <c r="O651" s="52"/>
      <c r="P651" s="52"/>
      <c r="Q651" s="231"/>
      <c r="R651" s="231"/>
      <c r="S651" s="231"/>
      <c r="T651" s="231"/>
      <c r="U651" s="231"/>
      <c r="V651" s="231"/>
      <c r="W651" s="231"/>
      <c r="X651" s="231"/>
      <c r="Y651" s="231"/>
      <c r="Z651" s="231"/>
      <c r="AA651" s="231"/>
      <c r="AB651" s="231"/>
      <c r="AC651" s="231"/>
      <c r="AD651" s="231"/>
      <c r="AE651" s="231"/>
      <c r="AF651" s="359"/>
      <c r="AG651" s="231"/>
      <c r="AH651" s="231"/>
      <c r="AI651" s="231"/>
      <c r="AJ651" s="231"/>
      <c r="AK651" s="233"/>
    </row>
    <row r="652" spans="1:37" ht="63.75" customHeight="1" x14ac:dyDescent="0.2">
      <c r="A652" s="167"/>
      <c r="B652" s="643"/>
      <c r="C652" s="732">
        <v>28</v>
      </c>
      <c r="D652" s="735" t="s">
        <v>771</v>
      </c>
      <c r="E652" s="752">
        <v>0.5</v>
      </c>
      <c r="F652" s="752">
        <v>1</v>
      </c>
      <c r="G652" s="731"/>
      <c r="H652" s="673">
        <v>173</v>
      </c>
      <c r="I652" s="665" t="s">
        <v>779</v>
      </c>
      <c r="J652" s="295" t="s">
        <v>32</v>
      </c>
      <c r="K652" s="295">
        <v>7</v>
      </c>
      <c r="L652" s="743">
        <v>2017003630104</v>
      </c>
      <c r="M652" s="778" t="s">
        <v>641</v>
      </c>
      <c r="N652" s="731" t="s">
        <v>780</v>
      </c>
      <c r="O652" s="734" t="s">
        <v>781</v>
      </c>
      <c r="P652" s="673" t="s">
        <v>41</v>
      </c>
      <c r="Q652" s="346">
        <v>0</v>
      </c>
      <c r="R652" s="346">
        <v>0</v>
      </c>
      <c r="S652" s="346">
        <v>0</v>
      </c>
      <c r="T652" s="346">
        <v>0</v>
      </c>
      <c r="U652" s="346">
        <v>0</v>
      </c>
      <c r="V652" s="346">
        <v>0</v>
      </c>
      <c r="W652" s="346">
        <v>0</v>
      </c>
      <c r="X652" s="346"/>
      <c r="Y652" s="346"/>
      <c r="Z652" s="374"/>
      <c r="AA652" s="346">
        <v>0</v>
      </c>
      <c r="AB652" s="346"/>
      <c r="AC652" s="346"/>
      <c r="AD652" s="346">
        <v>0</v>
      </c>
      <c r="AE652" s="346">
        <v>0</v>
      </c>
      <c r="AF652" s="346">
        <v>35436120</v>
      </c>
      <c r="AG652" s="360"/>
      <c r="AH652" s="346">
        <v>0</v>
      </c>
      <c r="AI652" s="348"/>
      <c r="AJ652" s="348"/>
      <c r="AK652" s="346">
        <f>Q652+R652+S652+T652+U652+V652+W652+X652+Y652+Z652+AA652+AB652+AC652+AD652+AE652+AF652+AG652+AH652+AI652+AJ652</f>
        <v>35436120</v>
      </c>
    </row>
    <row r="653" spans="1:37" ht="63.75" customHeight="1" x14ac:dyDescent="0.2">
      <c r="A653" s="167"/>
      <c r="B653" s="643"/>
      <c r="C653" s="732"/>
      <c r="D653" s="735"/>
      <c r="E653" s="752"/>
      <c r="F653" s="752"/>
      <c r="G653" s="733"/>
      <c r="H653" s="673">
        <v>174</v>
      </c>
      <c r="I653" s="665" t="s">
        <v>782</v>
      </c>
      <c r="J653" s="673">
        <v>100</v>
      </c>
      <c r="K653" s="80">
        <v>150</v>
      </c>
      <c r="L653" s="745"/>
      <c r="M653" s="780"/>
      <c r="N653" s="733"/>
      <c r="O653" s="736"/>
      <c r="P653" s="673" t="s">
        <v>41</v>
      </c>
      <c r="Q653" s="346">
        <v>0</v>
      </c>
      <c r="R653" s="346">
        <v>0</v>
      </c>
      <c r="S653" s="346">
        <v>0</v>
      </c>
      <c r="T653" s="346">
        <v>0</v>
      </c>
      <c r="U653" s="346">
        <v>0</v>
      </c>
      <c r="V653" s="346">
        <v>0</v>
      </c>
      <c r="W653" s="346">
        <v>0</v>
      </c>
      <c r="X653" s="346"/>
      <c r="Y653" s="346"/>
      <c r="Z653" s="346">
        <v>0</v>
      </c>
      <c r="AA653" s="346">
        <v>0</v>
      </c>
      <c r="AB653" s="346"/>
      <c r="AC653" s="346"/>
      <c r="AD653" s="346">
        <v>0</v>
      </c>
      <c r="AE653" s="346">
        <v>0</v>
      </c>
      <c r="AF653" s="347">
        <v>0</v>
      </c>
      <c r="AG653" s="360"/>
      <c r="AH653" s="346">
        <v>0</v>
      </c>
      <c r="AI653" s="348"/>
      <c r="AJ653" s="348"/>
      <c r="AK653" s="346">
        <f>Q653+R653+S653+T653+U653+V653+W653+X653+Y653+Z653+AA653+AB653+AC653+AD653+AE653+AF653+AG653+AH653+AI653+AJ653</f>
        <v>0</v>
      </c>
    </row>
    <row r="654" spans="1:37" ht="30" customHeight="1" x14ac:dyDescent="0.2">
      <c r="A654" s="167"/>
      <c r="B654" s="643"/>
      <c r="C654" s="649"/>
      <c r="D654" s="644"/>
      <c r="E654" s="649"/>
      <c r="F654" s="649"/>
      <c r="G654" s="30"/>
      <c r="H654" s="31"/>
      <c r="I654" s="30"/>
      <c r="J654" s="31"/>
      <c r="K654" s="104"/>
      <c r="L654" s="104"/>
      <c r="M654" s="30"/>
      <c r="N654" s="31"/>
      <c r="O654" s="30"/>
      <c r="P654" s="31"/>
      <c r="Q654" s="355">
        <f t="shared" ref="Q654:AK654" si="153">SUM(Q652:Q653)</f>
        <v>0</v>
      </c>
      <c r="R654" s="355">
        <f t="shared" si="153"/>
        <v>0</v>
      </c>
      <c r="S654" s="355">
        <f t="shared" si="153"/>
        <v>0</v>
      </c>
      <c r="T654" s="355">
        <f t="shared" si="153"/>
        <v>0</v>
      </c>
      <c r="U654" s="355">
        <f t="shared" si="153"/>
        <v>0</v>
      </c>
      <c r="V654" s="355">
        <f t="shared" si="153"/>
        <v>0</v>
      </c>
      <c r="W654" s="355">
        <f t="shared" si="153"/>
        <v>0</v>
      </c>
      <c r="X654" s="355">
        <f t="shared" si="153"/>
        <v>0</v>
      </c>
      <c r="Y654" s="355">
        <f t="shared" si="153"/>
        <v>0</v>
      </c>
      <c r="Z654" s="355">
        <f t="shared" si="153"/>
        <v>0</v>
      </c>
      <c r="AA654" s="355">
        <f t="shared" si="153"/>
        <v>0</v>
      </c>
      <c r="AB654" s="355">
        <f t="shared" si="153"/>
        <v>0</v>
      </c>
      <c r="AC654" s="355">
        <f t="shared" si="153"/>
        <v>0</v>
      </c>
      <c r="AD654" s="355">
        <f t="shared" si="153"/>
        <v>0</v>
      </c>
      <c r="AE654" s="355">
        <f t="shared" si="153"/>
        <v>0</v>
      </c>
      <c r="AF654" s="355">
        <f t="shared" si="153"/>
        <v>35436120</v>
      </c>
      <c r="AG654" s="355">
        <f t="shared" si="153"/>
        <v>0</v>
      </c>
      <c r="AH654" s="355">
        <f t="shared" si="153"/>
        <v>0</v>
      </c>
      <c r="AI654" s="355">
        <f t="shared" si="153"/>
        <v>0</v>
      </c>
      <c r="AJ654" s="355">
        <f t="shared" si="153"/>
        <v>0</v>
      </c>
      <c r="AK654" s="355">
        <f t="shared" si="153"/>
        <v>35436120</v>
      </c>
    </row>
    <row r="655" spans="1:37" ht="30" customHeight="1" x14ac:dyDescent="0.2">
      <c r="A655" s="167"/>
      <c r="B655" s="643"/>
      <c r="C655" s="116"/>
      <c r="D655" s="44"/>
      <c r="E655" s="116"/>
      <c r="F655" s="116"/>
      <c r="G655" s="44"/>
      <c r="H655" s="116"/>
      <c r="I655" s="44"/>
      <c r="J655" s="116"/>
      <c r="K655" s="117"/>
      <c r="L655" s="229"/>
      <c r="M655" s="74"/>
      <c r="N655" s="345"/>
      <c r="O655" s="74"/>
      <c r="P655" s="116"/>
      <c r="Q655" s="350"/>
      <c r="R655" s="350"/>
      <c r="S655" s="350"/>
      <c r="T655" s="350"/>
      <c r="U655" s="350"/>
      <c r="V655" s="350"/>
      <c r="W655" s="350"/>
      <c r="X655" s="350"/>
      <c r="Y655" s="350"/>
      <c r="Z655" s="350"/>
      <c r="AA655" s="350"/>
      <c r="AB655" s="350"/>
      <c r="AC655" s="350"/>
      <c r="AD655" s="350"/>
      <c r="AE655" s="350"/>
      <c r="AF655" s="352"/>
      <c r="AG655" s="353"/>
      <c r="AH655" s="350"/>
      <c r="AI655" s="350"/>
      <c r="AJ655" s="350"/>
      <c r="AK655" s="354"/>
    </row>
    <row r="656" spans="1:37" ht="30" customHeight="1" x14ac:dyDescent="0.2">
      <c r="A656" s="167"/>
      <c r="B656" s="643"/>
      <c r="C656" s="648"/>
      <c r="D656" s="642"/>
      <c r="E656" s="648"/>
      <c r="F656" s="648"/>
      <c r="G656" s="181">
        <v>54</v>
      </c>
      <c r="H656" s="52" t="s">
        <v>783</v>
      </c>
      <c r="I656" s="52"/>
      <c r="J656" s="52"/>
      <c r="K656" s="96"/>
      <c r="L656" s="96"/>
      <c r="M656" s="581"/>
      <c r="N656" s="136"/>
      <c r="O656" s="52"/>
      <c r="P656" s="52"/>
      <c r="Q656" s="231"/>
      <c r="R656" s="231"/>
      <c r="S656" s="231"/>
      <c r="T656" s="231"/>
      <c r="U656" s="231"/>
      <c r="V656" s="231"/>
      <c r="W656" s="231"/>
      <c r="X656" s="231"/>
      <c r="Y656" s="231"/>
      <c r="Z656" s="231"/>
      <c r="AA656" s="231"/>
      <c r="AB656" s="231"/>
      <c r="AC656" s="231"/>
      <c r="AD656" s="231"/>
      <c r="AE656" s="231"/>
      <c r="AF656" s="359"/>
      <c r="AG656" s="231"/>
      <c r="AH656" s="231"/>
      <c r="AI656" s="231"/>
      <c r="AJ656" s="231"/>
      <c r="AK656" s="233"/>
    </row>
    <row r="657" spans="1:76" ht="61.5" customHeight="1" x14ac:dyDescent="0.2">
      <c r="A657" s="167"/>
      <c r="B657" s="643"/>
      <c r="C657" s="732">
        <v>28</v>
      </c>
      <c r="D657" s="735" t="s">
        <v>771</v>
      </c>
      <c r="E657" s="752">
        <v>0.5</v>
      </c>
      <c r="F657" s="752">
        <v>1</v>
      </c>
      <c r="G657" s="731"/>
      <c r="H657" s="673">
        <v>175</v>
      </c>
      <c r="I657" s="665" t="s">
        <v>784</v>
      </c>
      <c r="J657" s="673">
        <v>10</v>
      </c>
      <c r="K657" s="80">
        <v>14</v>
      </c>
      <c r="L657" s="743">
        <v>2017003630108</v>
      </c>
      <c r="M657" s="734" t="s">
        <v>641</v>
      </c>
      <c r="N657" s="731" t="s">
        <v>785</v>
      </c>
      <c r="O657" s="734" t="s">
        <v>925</v>
      </c>
      <c r="P657" s="673" t="s">
        <v>41</v>
      </c>
      <c r="Q657" s="346">
        <v>0</v>
      </c>
      <c r="R657" s="346">
        <v>0</v>
      </c>
      <c r="S657" s="346">
        <v>0</v>
      </c>
      <c r="T657" s="346">
        <v>0</v>
      </c>
      <c r="U657" s="346">
        <v>0</v>
      </c>
      <c r="V657" s="346">
        <v>0</v>
      </c>
      <c r="W657" s="346">
        <v>0</v>
      </c>
      <c r="X657" s="346"/>
      <c r="Y657" s="346"/>
      <c r="Z657" s="697"/>
      <c r="AA657" s="346">
        <v>0</v>
      </c>
      <c r="AB657" s="346">
        <v>0</v>
      </c>
      <c r="AC657" s="346">
        <v>0</v>
      </c>
      <c r="AD657" s="346">
        <v>0</v>
      </c>
      <c r="AE657" s="346">
        <v>0</v>
      </c>
      <c r="AF657" s="540">
        <f>23817720+150000000+74634695+1000000000</f>
        <v>1248452415</v>
      </c>
      <c r="AG657" s="360"/>
      <c r="AH657" s="346">
        <v>0</v>
      </c>
      <c r="AI657" s="348"/>
      <c r="AJ657" s="348"/>
      <c r="AK657" s="346">
        <f>Q657+R657+S657+T657+U657+V657+W657+X657+Y657+Z657+AA657+AB657+AC657+AD657+AE657+AF657+AG657+AH657+AI657+AJ657</f>
        <v>1248452415</v>
      </c>
    </row>
    <row r="658" spans="1:76" ht="61.5" customHeight="1" x14ac:dyDescent="0.2">
      <c r="A658" s="167"/>
      <c r="B658" s="643"/>
      <c r="C658" s="732"/>
      <c r="D658" s="735"/>
      <c r="E658" s="752"/>
      <c r="F658" s="752"/>
      <c r="G658" s="733"/>
      <c r="H658" s="673">
        <v>176</v>
      </c>
      <c r="I658" s="665" t="s">
        <v>786</v>
      </c>
      <c r="J658" s="673">
        <v>2</v>
      </c>
      <c r="K658" s="80">
        <v>2</v>
      </c>
      <c r="L658" s="745"/>
      <c r="M658" s="736"/>
      <c r="N658" s="733"/>
      <c r="O658" s="736"/>
      <c r="P658" s="673" t="s">
        <v>41</v>
      </c>
      <c r="Q658" s="346">
        <v>0</v>
      </c>
      <c r="R658" s="346">
        <v>0</v>
      </c>
      <c r="S658" s="346">
        <v>0</v>
      </c>
      <c r="T658" s="346">
        <v>0</v>
      </c>
      <c r="U658" s="346">
        <v>0</v>
      </c>
      <c r="V658" s="346">
        <v>0</v>
      </c>
      <c r="W658" s="346">
        <v>0</v>
      </c>
      <c r="X658" s="346"/>
      <c r="Y658" s="346"/>
      <c r="Z658" s="346"/>
      <c r="AA658" s="346">
        <v>0</v>
      </c>
      <c r="AB658" s="346">
        <v>0</v>
      </c>
      <c r="AC658" s="346">
        <v>0</v>
      </c>
      <c r="AD658" s="346">
        <v>0</v>
      </c>
      <c r="AE658" s="346">
        <v>0</v>
      </c>
      <c r="AF658" s="347"/>
      <c r="AG658" s="360"/>
      <c r="AH658" s="346">
        <v>0</v>
      </c>
      <c r="AI658" s="348"/>
      <c r="AJ658" s="348"/>
      <c r="AK658" s="346">
        <f>Q658+R658+S658+T658+U658+V658+W658+X658+Y658+Z658+AA658+AB658+AC658+AD658+AE658+AF658+AG658+AH658+AI658+AJ658</f>
        <v>0</v>
      </c>
    </row>
    <row r="659" spans="1:76" ht="30" customHeight="1" x14ac:dyDescent="0.2">
      <c r="A659" s="167"/>
      <c r="B659" s="643"/>
      <c r="C659" s="649"/>
      <c r="D659" s="644"/>
      <c r="E659" s="649"/>
      <c r="F659" s="649"/>
      <c r="G659" s="30"/>
      <c r="H659" s="31"/>
      <c r="I659" s="30"/>
      <c r="J659" s="31"/>
      <c r="K659" s="104"/>
      <c r="L659" s="104"/>
      <c r="M659" s="30"/>
      <c r="N659" s="31"/>
      <c r="O659" s="30"/>
      <c r="P659" s="31"/>
      <c r="Q659" s="355">
        <f t="shared" ref="Q659:AK659" si="154">SUM(Q657:Q658)</f>
        <v>0</v>
      </c>
      <c r="R659" s="355">
        <f t="shared" si="154"/>
        <v>0</v>
      </c>
      <c r="S659" s="355">
        <f t="shared" si="154"/>
        <v>0</v>
      </c>
      <c r="T659" s="355">
        <f t="shared" si="154"/>
        <v>0</v>
      </c>
      <c r="U659" s="355">
        <f t="shared" si="154"/>
        <v>0</v>
      </c>
      <c r="V659" s="355">
        <f t="shared" si="154"/>
        <v>0</v>
      </c>
      <c r="W659" s="355">
        <f t="shared" si="154"/>
        <v>0</v>
      </c>
      <c r="X659" s="355">
        <f t="shared" si="154"/>
        <v>0</v>
      </c>
      <c r="Y659" s="355">
        <f t="shared" si="154"/>
        <v>0</v>
      </c>
      <c r="Z659" s="355">
        <f t="shared" si="154"/>
        <v>0</v>
      </c>
      <c r="AA659" s="355">
        <f t="shared" si="154"/>
        <v>0</v>
      </c>
      <c r="AB659" s="355">
        <f t="shared" si="154"/>
        <v>0</v>
      </c>
      <c r="AC659" s="355">
        <f t="shared" si="154"/>
        <v>0</v>
      </c>
      <c r="AD659" s="355">
        <f t="shared" si="154"/>
        <v>0</v>
      </c>
      <c r="AE659" s="355">
        <f t="shared" si="154"/>
        <v>0</v>
      </c>
      <c r="AF659" s="355">
        <f t="shared" si="154"/>
        <v>1248452415</v>
      </c>
      <c r="AG659" s="355">
        <f t="shared" si="154"/>
        <v>0</v>
      </c>
      <c r="AH659" s="355">
        <f t="shared" si="154"/>
        <v>0</v>
      </c>
      <c r="AI659" s="355">
        <f t="shared" si="154"/>
        <v>0</v>
      </c>
      <c r="AJ659" s="355">
        <f t="shared" si="154"/>
        <v>0</v>
      </c>
      <c r="AK659" s="355">
        <f t="shared" si="154"/>
        <v>1248452415</v>
      </c>
    </row>
    <row r="660" spans="1:76" ht="30" customHeight="1" x14ac:dyDescent="0.2">
      <c r="A660" s="16"/>
      <c r="B660" s="253"/>
      <c r="C660" s="35"/>
      <c r="D660" s="34"/>
      <c r="E660" s="35"/>
      <c r="F660" s="35"/>
      <c r="G660" s="34"/>
      <c r="H660" s="35"/>
      <c r="I660" s="34"/>
      <c r="J660" s="35"/>
      <c r="K660" s="113"/>
      <c r="L660" s="113"/>
      <c r="M660" s="34"/>
      <c r="N660" s="35"/>
      <c r="O660" s="34"/>
      <c r="P660" s="35"/>
      <c r="Q660" s="361">
        <f t="shared" ref="Q660:AK660" si="155">Q659+Q654+Q649+Q643+Q639</f>
        <v>0</v>
      </c>
      <c r="R660" s="361">
        <f t="shared" si="155"/>
        <v>0</v>
      </c>
      <c r="S660" s="361">
        <f t="shared" si="155"/>
        <v>0</v>
      </c>
      <c r="T660" s="361">
        <f t="shared" si="155"/>
        <v>0</v>
      </c>
      <c r="U660" s="361">
        <f t="shared" si="155"/>
        <v>0</v>
      </c>
      <c r="V660" s="361">
        <f t="shared" si="155"/>
        <v>0</v>
      </c>
      <c r="W660" s="361">
        <f t="shared" si="155"/>
        <v>0</v>
      </c>
      <c r="X660" s="361">
        <f t="shared" si="155"/>
        <v>0</v>
      </c>
      <c r="Y660" s="361">
        <f t="shared" si="155"/>
        <v>8532619661</v>
      </c>
      <c r="Z660" s="361">
        <f t="shared" si="155"/>
        <v>3791204971</v>
      </c>
      <c r="AA660" s="361">
        <f t="shared" si="155"/>
        <v>500</v>
      </c>
      <c r="AB660" s="361">
        <f t="shared" si="155"/>
        <v>0</v>
      </c>
      <c r="AC660" s="361">
        <f t="shared" si="155"/>
        <v>0</v>
      </c>
      <c r="AD660" s="361">
        <f t="shared" si="155"/>
        <v>0</v>
      </c>
      <c r="AE660" s="361">
        <f t="shared" si="155"/>
        <v>0</v>
      </c>
      <c r="AF660" s="361">
        <f t="shared" si="155"/>
        <v>1881238455</v>
      </c>
      <c r="AG660" s="361">
        <f t="shared" si="155"/>
        <v>0</v>
      </c>
      <c r="AH660" s="361">
        <f t="shared" si="155"/>
        <v>0</v>
      </c>
      <c r="AI660" s="361">
        <f t="shared" si="155"/>
        <v>0</v>
      </c>
      <c r="AJ660" s="361">
        <f t="shared" si="155"/>
        <v>11151014906</v>
      </c>
      <c r="AK660" s="361">
        <f t="shared" si="155"/>
        <v>25356078493</v>
      </c>
    </row>
    <row r="661" spans="1:76" ht="30" customHeight="1" x14ac:dyDescent="0.2">
      <c r="A661" s="16"/>
      <c r="B661" s="44"/>
      <c r="C661" s="116"/>
      <c r="D661" s="44"/>
      <c r="E661" s="116"/>
      <c r="F661" s="116"/>
      <c r="G661" s="44"/>
      <c r="H661" s="116"/>
      <c r="I661" s="44"/>
      <c r="J661" s="116"/>
      <c r="K661" s="117"/>
      <c r="L661" s="229"/>
      <c r="M661" s="74"/>
      <c r="N661" s="345"/>
      <c r="O661" s="74"/>
      <c r="P661" s="116"/>
      <c r="Q661" s="350"/>
      <c r="R661" s="350"/>
      <c r="S661" s="350"/>
      <c r="T661" s="350"/>
      <c r="U661" s="350"/>
      <c r="V661" s="350"/>
      <c r="W661" s="350"/>
      <c r="X661" s="350"/>
      <c r="Y661" s="350"/>
      <c r="Z661" s="350"/>
      <c r="AA661" s="350"/>
      <c r="AB661" s="350"/>
      <c r="AC661" s="350"/>
      <c r="AD661" s="350"/>
      <c r="AE661" s="350"/>
      <c r="AF661" s="352"/>
      <c r="AG661" s="350"/>
      <c r="AH661" s="350"/>
      <c r="AI661" s="350"/>
      <c r="AJ661" s="351"/>
      <c r="AK661" s="346"/>
    </row>
    <row r="662" spans="1:76" ht="30" customHeight="1" x14ac:dyDescent="0.2">
      <c r="A662" s="16"/>
      <c r="B662" s="287">
        <v>15</v>
      </c>
      <c r="C662" s="13" t="s">
        <v>787</v>
      </c>
      <c r="D662" s="12"/>
      <c r="E662" s="12"/>
      <c r="F662" s="12"/>
      <c r="G662" s="12"/>
      <c r="H662" s="13"/>
      <c r="I662" s="12"/>
      <c r="J662" s="12"/>
      <c r="K662" s="94"/>
      <c r="L662" s="94"/>
      <c r="M662" s="579"/>
      <c r="N662" s="13"/>
      <c r="O662" s="12"/>
      <c r="P662" s="12"/>
      <c r="Q662" s="357"/>
      <c r="R662" s="357"/>
      <c r="S662" s="357"/>
      <c r="T662" s="357"/>
      <c r="U662" s="357"/>
      <c r="V662" s="357"/>
      <c r="W662" s="357"/>
      <c r="X662" s="357"/>
      <c r="Y662" s="357"/>
      <c r="Z662" s="357"/>
      <c r="AA662" s="357"/>
      <c r="AB662" s="357"/>
      <c r="AC662" s="357"/>
      <c r="AD662" s="357"/>
      <c r="AE662" s="357"/>
      <c r="AF662" s="358"/>
      <c r="AG662" s="357"/>
      <c r="AH662" s="357"/>
      <c r="AI662" s="357"/>
      <c r="AJ662" s="357"/>
      <c r="AK662" s="445"/>
    </row>
    <row r="663" spans="1:76" ht="30" customHeight="1" x14ac:dyDescent="0.2">
      <c r="A663" s="167"/>
      <c r="B663" s="16"/>
      <c r="C663" s="648"/>
      <c r="D663" s="642"/>
      <c r="E663" s="648"/>
      <c r="F663" s="648"/>
      <c r="G663" s="181">
        <v>55</v>
      </c>
      <c r="H663" s="52" t="s">
        <v>788</v>
      </c>
      <c r="I663" s="52"/>
      <c r="J663" s="52"/>
      <c r="K663" s="96"/>
      <c r="L663" s="96"/>
      <c r="M663" s="581"/>
      <c r="N663" s="136"/>
      <c r="O663" s="52"/>
      <c r="P663" s="52"/>
      <c r="Q663" s="231"/>
      <c r="R663" s="231"/>
      <c r="S663" s="231"/>
      <c r="T663" s="231"/>
      <c r="U663" s="231"/>
      <c r="V663" s="231"/>
      <c r="W663" s="231"/>
      <c r="X663" s="231"/>
      <c r="Y663" s="231"/>
      <c r="Z663" s="231"/>
      <c r="AA663" s="231"/>
      <c r="AB663" s="231"/>
      <c r="AC663" s="231"/>
      <c r="AD663" s="231"/>
      <c r="AE663" s="231"/>
      <c r="AF663" s="359"/>
      <c r="AG663" s="231"/>
      <c r="AH663" s="231"/>
      <c r="AI663" s="231"/>
      <c r="AJ663" s="231"/>
      <c r="AK663" s="444"/>
    </row>
    <row r="664" spans="1:76" ht="71.25" customHeight="1" x14ac:dyDescent="0.2">
      <c r="A664" s="167"/>
      <c r="B664" s="643"/>
      <c r="C664" s="649" t="s">
        <v>673</v>
      </c>
      <c r="D664" s="644" t="s">
        <v>789</v>
      </c>
      <c r="E664" s="653">
        <v>2</v>
      </c>
      <c r="F664" s="653">
        <v>2</v>
      </c>
      <c r="G664" s="731"/>
      <c r="H664" s="673">
        <v>177</v>
      </c>
      <c r="I664" s="665" t="s">
        <v>790</v>
      </c>
      <c r="J664" s="673">
        <v>2</v>
      </c>
      <c r="K664" s="80">
        <v>2</v>
      </c>
      <c r="L664" s="743">
        <v>2017003630063</v>
      </c>
      <c r="M664" s="734" t="s">
        <v>641</v>
      </c>
      <c r="N664" s="731" t="s">
        <v>791</v>
      </c>
      <c r="O664" s="734" t="s">
        <v>792</v>
      </c>
      <c r="P664" s="132" t="s">
        <v>41</v>
      </c>
      <c r="Q664" s="346">
        <v>0</v>
      </c>
      <c r="R664" s="346">
        <v>0</v>
      </c>
      <c r="S664" s="346">
        <v>0</v>
      </c>
      <c r="T664" s="346">
        <v>0</v>
      </c>
      <c r="U664" s="346">
        <v>0</v>
      </c>
      <c r="V664" s="346">
        <v>0</v>
      </c>
      <c r="W664" s="346">
        <v>0</v>
      </c>
      <c r="X664" s="346"/>
      <c r="Y664" s="346"/>
      <c r="Z664" s="346">
        <v>0</v>
      </c>
      <c r="AA664" s="346">
        <v>0</v>
      </c>
      <c r="AB664" s="346"/>
      <c r="AC664" s="346"/>
      <c r="AD664" s="346">
        <v>0</v>
      </c>
      <c r="AE664" s="346">
        <v>0</v>
      </c>
      <c r="AF664" s="347">
        <v>0</v>
      </c>
      <c r="AG664" s="360"/>
      <c r="AH664" s="346">
        <v>0</v>
      </c>
      <c r="AI664" s="348"/>
      <c r="AJ664" s="348">
        <v>0</v>
      </c>
      <c r="AK664" s="346">
        <f>Q664+R664+S664+T664+U664+V664+W664+X664+Y664+Z664+AA664+AB664+AC664+AD664+AE664+AF664+AG664+AH664+AI664+AJ664</f>
        <v>0</v>
      </c>
    </row>
    <row r="665" spans="1:76" ht="78" customHeight="1" x14ac:dyDescent="0.2">
      <c r="A665" s="167"/>
      <c r="B665" s="643"/>
      <c r="C665" s="663" t="s">
        <v>673</v>
      </c>
      <c r="D665" s="665" t="s">
        <v>793</v>
      </c>
      <c r="E665" s="255">
        <v>0</v>
      </c>
      <c r="F665" s="255">
        <v>0.8</v>
      </c>
      <c r="G665" s="732"/>
      <c r="H665" s="673">
        <v>178</v>
      </c>
      <c r="I665" s="665" t="s">
        <v>926</v>
      </c>
      <c r="J665" s="673">
        <v>0</v>
      </c>
      <c r="K665" s="80">
        <v>3</v>
      </c>
      <c r="L665" s="744"/>
      <c r="M665" s="735"/>
      <c r="N665" s="732"/>
      <c r="O665" s="735"/>
      <c r="P665" s="132" t="s">
        <v>41</v>
      </c>
      <c r="Q665" s="346">
        <v>0</v>
      </c>
      <c r="R665" s="346">
        <v>0</v>
      </c>
      <c r="S665" s="346">
        <v>0</v>
      </c>
      <c r="T665" s="346">
        <v>0</v>
      </c>
      <c r="U665" s="346">
        <v>0</v>
      </c>
      <c r="V665" s="346">
        <v>0</v>
      </c>
      <c r="W665" s="346">
        <v>0</v>
      </c>
      <c r="X665" s="346"/>
      <c r="Y665" s="346"/>
      <c r="Z665" s="346">
        <v>130000000</v>
      </c>
      <c r="AA665" s="346">
        <v>0</v>
      </c>
      <c r="AB665" s="346"/>
      <c r="AC665" s="346"/>
      <c r="AD665" s="346">
        <v>0</v>
      </c>
      <c r="AE665" s="346">
        <v>0</v>
      </c>
      <c r="AF665" s="347">
        <f>6396240+21000000</f>
        <v>27396240</v>
      </c>
      <c r="AG665" s="360"/>
      <c r="AH665" s="346">
        <v>0</v>
      </c>
      <c r="AI665" s="348"/>
      <c r="AJ665" s="348">
        <v>0</v>
      </c>
      <c r="AK665" s="346">
        <f>Q665+R665+S665+T665+U665+V665+W665+X665+Y665+Z665+AA665+AB665+AC665+AD665+AE665+AF665+AG665+AH665+AI665+AJ665</f>
        <v>157396240</v>
      </c>
    </row>
    <row r="666" spans="1:76" ht="58.5" customHeight="1" x14ac:dyDescent="0.2">
      <c r="A666" s="167"/>
      <c r="B666" s="643"/>
      <c r="C666" s="648" t="s">
        <v>673</v>
      </c>
      <c r="D666" s="642" t="s">
        <v>794</v>
      </c>
      <c r="E666" s="479" t="s">
        <v>32</v>
      </c>
      <c r="F666" s="479">
        <v>0.9</v>
      </c>
      <c r="G666" s="733"/>
      <c r="H666" s="673">
        <v>179</v>
      </c>
      <c r="I666" s="665" t="s">
        <v>795</v>
      </c>
      <c r="J666" s="673">
        <v>4</v>
      </c>
      <c r="K666" s="80">
        <v>4</v>
      </c>
      <c r="L666" s="745"/>
      <c r="M666" s="736"/>
      <c r="N666" s="733"/>
      <c r="O666" s="736"/>
      <c r="P666" s="132" t="s">
        <v>41</v>
      </c>
      <c r="Q666" s="346">
        <v>0</v>
      </c>
      <c r="R666" s="346">
        <v>0</v>
      </c>
      <c r="S666" s="346">
        <v>0</v>
      </c>
      <c r="T666" s="346">
        <v>0</v>
      </c>
      <c r="U666" s="346">
        <v>0</v>
      </c>
      <c r="V666" s="346">
        <v>0</v>
      </c>
      <c r="W666" s="346">
        <v>0</v>
      </c>
      <c r="X666" s="346"/>
      <c r="Y666" s="346"/>
      <c r="Z666" s="346">
        <v>0</v>
      </c>
      <c r="AA666" s="346">
        <v>0</v>
      </c>
      <c r="AB666" s="346"/>
      <c r="AC666" s="346"/>
      <c r="AD666" s="346">
        <v>0</v>
      </c>
      <c r="AE666" s="346">
        <v>0</v>
      </c>
      <c r="AF666" s="347">
        <v>0</v>
      </c>
      <c r="AG666" s="360"/>
      <c r="AH666" s="346">
        <v>0</v>
      </c>
      <c r="AI666" s="348"/>
      <c r="AJ666" s="348">
        <v>0</v>
      </c>
      <c r="AK666" s="346">
        <f>Q666+R666+S666+T666+U666+V666+W666+X666+Y666+Z666+AA666+AB666+AC666+AD666+AE666+AF666+AG666+AH666+AI666+AJ666</f>
        <v>0</v>
      </c>
    </row>
    <row r="667" spans="1:76" s="563" customFormat="1" ht="30" customHeight="1" x14ac:dyDescent="0.2">
      <c r="A667" s="513"/>
      <c r="B667" s="643"/>
      <c r="C667" s="649"/>
      <c r="D667" s="644"/>
      <c r="E667" s="649"/>
      <c r="F667" s="649"/>
      <c r="G667" s="30"/>
      <c r="H667" s="31"/>
      <c r="I667" s="30"/>
      <c r="J667" s="31"/>
      <c r="K667" s="104"/>
      <c r="L667" s="104"/>
      <c r="M667" s="30"/>
      <c r="N667" s="31"/>
      <c r="O667" s="30"/>
      <c r="P667" s="31"/>
      <c r="Q667" s="355">
        <f t="shared" ref="Q667:AJ667" si="156">SUM(Q664:Q666)</f>
        <v>0</v>
      </c>
      <c r="R667" s="355">
        <f t="shared" si="156"/>
        <v>0</v>
      </c>
      <c r="S667" s="355">
        <f t="shared" si="156"/>
        <v>0</v>
      </c>
      <c r="T667" s="355">
        <f t="shared" si="156"/>
        <v>0</v>
      </c>
      <c r="U667" s="355">
        <f t="shared" si="156"/>
        <v>0</v>
      </c>
      <c r="V667" s="355">
        <f t="shared" si="156"/>
        <v>0</v>
      </c>
      <c r="W667" s="355">
        <f t="shared" si="156"/>
        <v>0</v>
      </c>
      <c r="X667" s="355">
        <f t="shared" si="156"/>
        <v>0</v>
      </c>
      <c r="Y667" s="355">
        <f t="shared" si="156"/>
        <v>0</v>
      </c>
      <c r="Z667" s="355">
        <f t="shared" si="156"/>
        <v>130000000</v>
      </c>
      <c r="AA667" s="355">
        <f t="shared" si="156"/>
        <v>0</v>
      </c>
      <c r="AB667" s="355">
        <f t="shared" si="156"/>
        <v>0</v>
      </c>
      <c r="AC667" s="355">
        <f t="shared" si="156"/>
        <v>0</v>
      </c>
      <c r="AD667" s="355">
        <f t="shared" si="156"/>
        <v>0</v>
      </c>
      <c r="AE667" s="355">
        <f t="shared" si="156"/>
        <v>0</v>
      </c>
      <c r="AF667" s="355">
        <f t="shared" si="156"/>
        <v>27396240</v>
      </c>
      <c r="AG667" s="355">
        <f t="shared" si="156"/>
        <v>0</v>
      </c>
      <c r="AH667" s="355">
        <f t="shared" si="156"/>
        <v>0</v>
      </c>
      <c r="AI667" s="355">
        <f t="shared" si="156"/>
        <v>0</v>
      </c>
      <c r="AJ667" s="355">
        <f t="shared" si="156"/>
        <v>0</v>
      </c>
      <c r="AK667" s="355">
        <f>SUM(AK664:AK666)</f>
        <v>157396240</v>
      </c>
      <c r="AL667" s="562"/>
      <c r="AM667" s="562"/>
      <c r="AN667" s="562"/>
      <c r="AO667" s="562"/>
      <c r="AP667" s="562"/>
      <c r="AQ667" s="562"/>
      <c r="AR667" s="562"/>
      <c r="AS667" s="562"/>
      <c r="AT667" s="562"/>
      <c r="AU667" s="562"/>
      <c r="AV667" s="562"/>
      <c r="AW667" s="562"/>
      <c r="AX667" s="562"/>
      <c r="AY667" s="562"/>
      <c r="AZ667" s="562"/>
      <c r="BA667" s="562"/>
      <c r="BB667" s="562"/>
      <c r="BC667" s="562"/>
      <c r="BD667" s="562"/>
      <c r="BE667" s="562"/>
      <c r="BF667" s="562"/>
      <c r="BG667" s="562"/>
      <c r="BH667" s="562"/>
      <c r="BI667" s="562"/>
      <c r="BJ667" s="562"/>
      <c r="BK667" s="562"/>
      <c r="BL667" s="562"/>
      <c r="BM667" s="562"/>
      <c r="BN667" s="562"/>
      <c r="BO667" s="562"/>
      <c r="BP667" s="562"/>
      <c r="BQ667" s="562"/>
      <c r="BR667" s="562"/>
      <c r="BS667" s="562"/>
      <c r="BT667" s="562"/>
      <c r="BU667" s="562"/>
      <c r="BV667" s="562"/>
      <c r="BW667" s="562"/>
      <c r="BX667" s="564"/>
    </row>
    <row r="668" spans="1:76" s="563" customFormat="1" ht="30" customHeight="1" x14ac:dyDescent="0.2">
      <c r="A668" s="65"/>
      <c r="B668" s="253"/>
      <c r="C668" s="35"/>
      <c r="D668" s="34"/>
      <c r="E668" s="35"/>
      <c r="F668" s="35"/>
      <c r="G668" s="34"/>
      <c r="H668" s="35"/>
      <c r="I668" s="34"/>
      <c r="J668" s="35"/>
      <c r="K668" s="113"/>
      <c r="L668" s="113"/>
      <c r="M668" s="34"/>
      <c r="N668" s="35"/>
      <c r="O668" s="34"/>
      <c r="P668" s="35"/>
      <c r="Q668" s="361">
        <f t="shared" ref="Q668:AK668" si="157">Q667</f>
        <v>0</v>
      </c>
      <c r="R668" s="361">
        <f t="shared" si="157"/>
        <v>0</v>
      </c>
      <c r="S668" s="361">
        <f t="shared" si="157"/>
        <v>0</v>
      </c>
      <c r="T668" s="361">
        <f t="shared" si="157"/>
        <v>0</v>
      </c>
      <c r="U668" s="361">
        <f t="shared" si="157"/>
        <v>0</v>
      </c>
      <c r="V668" s="361">
        <f t="shared" si="157"/>
        <v>0</v>
      </c>
      <c r="W668" s="361">
        <f t="shared" si="157"/>
        <v>0</v>
      </c>
      <c r="X668" s="361">
        <f t="shared" si="157"/>
        <v>0</v>
      </c>
      <c r="Y668" s="361">
        <f t="shared" si="157"/>
        <v>0</v>
      </c>
      <c r="Z668" s="361">
        <f t="shared" si="157"/>
        <v>130000000</v>
      </c>
      <c r="AA668" s="361">
        <f t="shared" si="157"/>
        <v>0</v>
      </c>
      <c r="AB668" s="361">
        <f t="shared" si="157"/>
        <v>0</v>
      </c>
      <c r="AC668" s="361">
        <f t="shared" si="157"/>
        <v>0</v>
      </c>
      <c r="AD668" s="361">
        <f t="shared" si="157"/>
        <v>0</v>
      </c>
      <c r="AE668" s="361">
        <f t="shared" si="157"/>
        <v>0</v>
      </c>
      <c r="AF668" s="361">
        <f t="shared" si="157"/>
        <v>27396240</v>
      </c>
      <c r="AG668" s="361">
        <f t="shared" si="157"/>
        <v>0</v>
      </c>
      <c r="AH668" s="361">
        <f t="shared" si="157"/>
        <v>0</v>
      </c>
      <c r="AI668" s="361">
        <f t="shared" si="157"/>
        <v>0</v>
      </c>
      <c r="AJ668" s="361">
        <f t="shared" si="157"/>
        <v>0</v>
      </c>
      <c r="AK668" s="361">
        <f t="shared" si="157"/>
        <v>157396240</v>
      </c>
      <c r="AL668" s="562"/>
      <c r="AM668" s="562"/>
      <c r="AN668" s="562"/>
      <c r="AO668" s="562"/>
      <c r="AP668" s="562"/>
      <c r="AQ668" s="562"/>
      <c r="AR668" s="562"/>
      <c r="AS668" s="562"/>
      <c r="AT668" s="562"/>
      <c r="AU668" s="562"/>
      <c r="AV668" s="562"/>
      <c r="AW668" s="562"/>
      <c r="AX668" s="562"/>
      <c r="AY668" s="562"/>
      <c r="AZ668" s="562"/>
      <c r="BA668" s="562"/>
      <c r="BB668" s="562"/>
      <c r="BC668" s="562"/>
      <c r="BD668" s="562"/>
      <c r="BE668" s="562"/>
      <c r="BF668" s="562"/>
      <c r="BG668" s="562"/>
      <c r="BH668" s="562"/>
      <c r="BI668" s="562"/>
      <c r="BJ668" s="562"/>
      <c r="BK668" s="562"/>
      <c r="BL668" s="562"/>
      <c r="BM668" s="562"/>
      <c r="BN668" s="562"/>
      <c r="BO668" s="562"/>
      <c r="BP668" s="562"/>
      <c r="BQ668" s="562"/>
      <c r="BR668" s="562"/>
      <c r="BS668" s="562"/>
      <c r="BT668" s="562"/>
      <c r="BU668" s="562"/>
      <c r="BV668" s="562"/>
      <c r="BW668" s="562"/>
      <c r="BX668" s="564"/>
    </row>
    <row r="669" spans="1:76" s="563" customFormat="1" ht="30" customHeight="1" x14ac:dyDescent="0.2">
      <c r="A669" s="37"/>
      <c r="B669" s="37"/>
      <c r="C669" s="38"/>
      <c r="D669" s="37"/>
      <c r="E669" s="38"/>
      <c r="F669" s="38"/>
      <c r="G669" s="37"/>
      <c r="H669" s="38"/>
      <c r="I669" s="37"/>
      <c r="J669" s="38"/>
      <c r="K669" s="115"/>
      <c r="L669" s="115"/>
      <c r="M669" s="37"/>
      <c r="N669" s="38"/>
      <c r="O669" s="37"/>
      <c r="P669" s="38"/>
      <c r="Q669" s="367">
        <f t="shared" ref="Q669:AK669" si="158">Q668+Q660+Q632+Q618+Q550</f>
        <v>0</v>
      </c>
      <c r="R669" s="367">
        <f t="shared" si="158"/>
        <v>0</v>
      </c>
      <c r="S669" s="367">
        <f t="shared" si="158"/>
        <v>0</v>
      </c>
      <c r="T669" s="367">
        <f t="shared" si="158"/>
        <v>0</v>
      </c>
      <c r="U669" s="367">
        <f t="shared" si="158"/>
        <v>0</v>
      </c>
      <c r="V669" s="367">
        <f t="shared" si="158"/>
        <v>0</v>
      </c>
      <c r="W669" s="367">
        <f t="shared" si="158"/>
        <v>0</v>
      </c>
      <c r="X669" s="367">
        <f t="shared" si="158"/>
        <v>4114536361.0700002</v>
      </c>
      <c r="Y669" s="367">
        <f t="shared" si="158"/>
        <v>8532619661</v>
      </c>
      <c r="Z669" s="367">
        <f t="shared" si="158"/>
        <v>23836501474</v>
      </c>
      <c r="AA669" s="367">
        <f t="shared" si="158"/>
        <v>2550538488</v>
      </c>
      <c r="AB669" s="367">
        <f t="shared" si="158"/>
        <v>0</v>
      </c>
      <c r="AC669" s="367">
        <f t="shared" si="158"/>
        <v>0</v>
      </c>
      <c r="AD669" s="367">
        <f t="shared" si="158"/>
        <v>0</v>
      </c>
      <c r="AE669" s="367">
        <f t="shared" si="158"/>
        <v>0</v>
      </c>
      <c r="AF669" s="367">
        <f t="shared" si="158"/>
        <v>1968634695</v>
      </c>
      <c r="AG669" s="367">
        <f t="shared" si="158"/>
        <v>0</v>
      </c>
      <c r="AH669" s="367">
        <f t="shared" si="158"/>
        <v>0</v>
      </c>
      <c r="AI669" s="367">
        <f t="shared" si="158"/>
        <v>0</v>
      </c>
      <c r="AJ669" s="367">
        <f t="shared" si="158"/>
        <v>11881583367</v>
      </c>
      <c r="AK669" s="367">
        <f t="shared" si="158"/>
        <v>52884414046.07</v>
      </c>
      <c r="AL669" s="562"/>
      <c r="AM669" s="562"/>
      <c r="AN669" s="562"/>
      <c r="AO669" s="562"/>
      <c r="AP669" s="562"/>
      <c r="AQ669" s="562"/>
      <c r="AR669" s="562"/>
      <c r="AS669" s="562"/>
      <c r="AT669" s="562"/>
      <c r="AU669" s="562"/>
      <c r="AV669" s="562"/>
      <c r="AW669" s="562"/>
      <c r="AX669" s="562"/>
      <c r="AY669" s="562"/>
      <c r="AZ669" s="562"/>
      <c r="BA669" s="562"/>
      <c r="BB669" s="562"/>
      <c r="BC669" s="562"/>
      <c r="BD669" s="562"/>
      <c r="BE669" s="562"/>
      <c r="BF669" s="562"/>
      <c r="BG669" s="562"/>
      <c r="BH669" s="562"/>
      <c r="BI669" s="562"/>
      <c r="BJ669" s="562"/>
      <c r="BK669" s="562"/>
      <c r="BL669" s="562"/>
      <c r="BM669" s="562"/>
      <c r="BN669" s="562"/>
      <c r="BO669" s="562"/>
      <c r="BP669" s="562"/>
      <c r="BQ669" s="562"/>
      <c r="BR669" s="562"/>
      <c r="BS669" s="562"/>
      <c r="BT669" s="562"/>
      <c r="BU669" s="562"/>
      <c r="BV669" s="562"/>
      <c r="BW669" s="562"/>
      <c r="BX669" s="564"/>
    </row>
    <row r="670" spans="1:76" s="563" customFormat="1" ht="30" customHeight="1" x14ac:dyDescent="0.2">
      <c r="A670" s="40"/>
      <c r="B670" s="40"/>
      <c r="C670" s="41"/>
      <c r="D670" s="40"/>
      <c r="E670" s="41"/>
      <c r="F670" s="41"/>
      <c r="G670" s="40"/>
      <c r="H670" s="41"/>
      <c r="I670" s="40"/>
      <c r="J670" s="41"/>
      <c r="K670" s="297"/>
      <c r="L670" s="297"/>
      <c r="M670" s="40"/>
      <c r="N670" s="41"/>
      <c r="O670" s="40"/>
      <c r="P670" s="41"/>
      <c r="Q670" s="368">
        <f t="shared" ref="Q670:AK670" si="159">Q669</f>
        <v>0</v>
      </c>
      <c r="R670" s="368">
        <f t="shared" si="159"/>
        <v>0</v>
      </c>
      <c r="S670" s="368">
        <f t="shared" si="159"/>
        <v>0</v>
      </c>
      <c r="T670" s="368">
        <f t="shared" si="159"/>
        <v>0</v>
      </c>
      <c r="U670" s="368">
        <f t="shared" si="159"/>
        <v>0</v>
      </c>
      <c r="V670" s="368">
        <f t="shared" si="159"/>
        <v>0</v>
      </c>
      <c r="W670" s="368">
        <f t="shared" si="159"/>
        <v>0</v>
      </c>
      <c r="X670" s="368">
        <f t="shared" si="159"/>
        <v>4114536361.0700002</v>
      </c>
      <c r="Y670" s="368">
        <f t="shared" si="159"/>
        <v>8532619661</v>
      </c>
      <c r="Z670" s="368">
        <f t="shared" si="159"/>
        <v>23836501474</v>
      </c>
      <c r="AA670" s="368">
        <f t="shared" si="159"/>
        <v>2550538488</v>
      </c>
      <c r="AB670" s="368">
        <f t="shared" si="159"/>
        <v>0</v>
      </c>
      <c r="AC670" s="368">
        <f t="shared" si="159"/>
        <v>0</v>
      </c>
      <c r="AD670" s="368">
        <f t="shared" si="159"/>
        <v>0</v>
      </c>
      <c r="AE670" s="368">
        <f t="shared" si="159"/>
        <v>0</v>
      </c>
      <c r="AF670" s="368">
        <f t="shared" si="159"/>
        <v>1968634695</v>
      </c>
      <c r="AG670" s="368">
        <f t="shared" si="159"/>
        <v>0</v>
      </c>
      <c r="AH670" s="368">
        <f t="shared" si="159"/>
        <v>0</v>
      </c>
      <c r="AI670" s="368">
        <f t="shared" si="159"/>
        <v>0</v>
      </c>
      <c r="AJ670" s="368">
        <f t="shared" si="159"/>
        <v>11881583367</v>
      </c>
      <c r="AK670" s="368">
        <f t="shared" si="159"/>
        <v>52884414046.07</v>
      </c>
      <c r="AL670" s="562"/>
      <c r="AM670" s="562"/>
      <c r="AN670" s="562"/>
      <c r="AO670" s="562"/>
      <c r="AP670" s="562"/>
      <c r="AQ670" s="562"/>
      <c r="AR670" s="562"/>
      <c r="AS670" s="562"/>
      <c r="AT670" s="562"/>
      <c r="AU670" s="562"/>
      <c r="AV670" s="562"/>
      <c r="AW670" s="562"/>
      <c r="AX670" s="562"/>
      <c r="AY670" s="562"/>
      <c r="AZ670" s="562"/>
      <c r="BA670" s="562"/>
      <c r="BB670" s="562"/>
      <c r="BC670" s="562"/>
      <c r="BD670" s="562"/>
      <c r="BE670" s="562"/>
      <c r="BF670" s="562"/>
      <c r="BG670" s="562"/>
      <c r="BH670" s="562"/>
      <c r="BI670" s="562"/>
      <c r="BJ670" s="562"/>
      <c r="BK670" s="562"/>
      <c r="BL670" s="562"/>
      <c r="BM670" s="562"/>
      <c r="BN670" s="562"/>
      <c r="BO670" s="562"/>
      <c r="BP670" s="562"/>
      <c r="BQ670" s="562"/>
      <c r="BR670" s="562"/>
      <c r="BS670" s="562"/>
      <c r="BT670" s="562"/>
      <c r="BU670" s="562"/>
      <c r="BV670" s="562"/>
      <c r="BW670" s="562"/>
      <c r="BX670" s="564"/>
    </row>
    <row r="671" spans="1:76" s="562" customFormat="1" ht="30" customHeight="1" x14ac:dyDescent="0.2">
      <c r="A671" s="791" t="s">
        <v>796</v>
      </c>
      <c r="B671" s="792"/>
      <c r="C671" s="792"/>
      <c r="D671" s="298"/>
      <c r="E671" s="298"/>
      <c r="F671" s="298"/>
      <c r="G671" s="298"/>
      <c r="H671" s="298"/>
      <c r="I671" s="298"/>
      <c r="J671" s="298"/>
      <c r="K671" s="299"/>
      <c r="L671" s="299"/>
      <c r="M671" s="606"/>
      <c r="N671" s="298"/>
      <c r="O671" s="300"/>
      <c r="P671" s="301"/>
      <c r="Q671" s="446">
        <f t="shared" ref="Q671:AK671" si="160">+Q670+Q540+Q530+Q464+Q358+Q341+Q267+Q225+Q193+Q114+Q78+Q64+Q21</f>
        <v>2963763815</v>
      </c>
      <c r="R671" s="446">
        <f t="shared" si="160"/>
        <v>3885430678</v>
      </c>
      <c r="S671" s="446">
        <f t="shared" si="160"/>
        <v>10896840365</v>
      </c>
      <c r="T671" s="446">
        <f t="shared" si="160"/>
        <v>6614956012.3800001</v>
      </c>
      <c r="U671" s="446">
        <f t="shared" si="160"/>
        <v>43558736</v>
      </c>
      <c r="V671" s="446">
        <f t="shared" si="160"/>
        <v>736645151</v>
      </c>
      <c r="W671" s="446">
        <f t="shared" si="160"/>
        <v>3571563200</v>
      </c>
      <c r="X671" s="446">
        <f t="shared" si="160"/>
        <v>4114536361.0700002</v>
      </c>
      <c r="Y671" s="446">
        <f t="shared" si="160"/>
        <v>8532619661</v>
      </c>
      <c r="Z671" s="446">
        <f t="shared" si="160"/>
        <v>23836501474</v>
      </c>
      <c r="AA671" s="446">
        <f t="shared" si="160"/>
        <v>2550538488</v>
      </c>
      <c r="AB671" s="446">
        <f t="shared" si="160"/>
        <v>117567021307.86</v>
      </c>
      <c r="AC671" s="446">
        <f t="shared" si="160"/>
        <v>17556304102</v>
      </c>
      <c r="AD671" s="446">
        <f t="shared" si="160"/>
        <v>8216499579.2399998</v>
      </c>
      <c r="AE671" s="446">
        <f t="shared" si="160"/>
        <v>2525108749</v>
      </c>
      <c r="AF671" s="446">
        <f t="shared" si="160"/>
        <v>29866358716.900002</v>
      </c>
      <c r="AG671" s="446">
        <f t="shared" si="160"/>
        <v>0</v>
      </c>
      <c r="AH671" s="446">
        <f t="shared" si="160"/>
        <v>845944479</v>
      </c>
      <c r="AI671" s="446">
        <f t="shared" si="160"/>
        <v>8642341966.5</v>
      </c>
      <c r="AJ671" s="446">
        <f t="shared" si="160"/>
        <v>13674844172</v>
      </c>
      <c r="AK671" s="446">
        <f t="shared" si="160"/>
        <v>266641377013.95001</v>
      </c>
    </row>
    <row r="672" spans="1:76" s="562" customFormat="1" ht="30" customHeight="1" x14ac:dyDescent="0.2">
      <c r="A672" s="793"/>
      <c r="B672" s="794"/>
      <c r="C672" s="794"/>
      <c r="D672" s="794"/>
      <c r="E672" s="794"/>
      <c r="F672" s="794"/>
      <c r="G672" s="794"/>
      <c r="H672" s="698"/>
      <c r="I672" s="698"/>
      <c r="J672" s="698"/>
      <c r="K672" s="699"/>
      <c r="L672" s="699"/>
      <c r="M672" s="700"/>
      <c r="N672" s="698"/>
      <c r="O672" s="698"/>
      <c r="P672" s="701"/>
      <c r="Q672" s="702"/>
      <c r="R672" s="702"/>
      <c r="S672" s="702"/>
      <c r="T672" s="702"/>
      <c r="U672" s="702"/>
      <c r="V672" s="702"/>
      <c r="W672" s="702"/>
      <c r="X672" s="702"/>
      <c r="Y672" s="702"/>
      <c r="Z672" s="702"/>
      <c r="AA672" s="702"/>
      <c r="AB672" s="702"/>
      <c r="AC672" s="702"/>
      <c r="AD672" s="702"/>
      <c r="AE672" s="702"/>
      <c r="AF672" s="702"/>
      <c r="AG672" s="702"/>
      <c r="AH672" s="702"/>
      <c r="AI672" s="702"/>
      <c r="AJ672" s="702"/>
      <c r="AK672" s="702"/>
    </row>
    <row r="673" spans="1:41" ht="30" customHeight="1" x14ac:dyDescent="0.2">
      <c r="A673" s="4" t="s">
        <v>797</v>
      </c>
      <c r="B673" s="5"/>
      <c r="C673" s="6"/>
      <c r="D673" s="5"/>
      <c r="E673" s="5"/>
      <c r="F673" s="5"/>
      <c r="G673" s="5"/>
      <c r="H673" s="6"/>
      <c r="I673" s="5"/>
      <c r="J673" s="5"/>
      <c r="K673" s="226"/>
      <c r="L673" s="226"/>
      <c r="M673" s="577"/>
      <c r="N673" s="6"/>
      <c r="O673" s="5"/>
      <c r="P673" s="6"/>
      <c r="Q673" s="413"/>
      <c r="R673" s="413"/>
      <c r="S673" s="413"/>
      <c r="T673" s="413"/>
      <c r="U673" s="413"/>
      <c r="V673" s="413"/>
      <c r="W673" s="413"/>
      <c r="X673" s="413"/>
      <c r="Y673" s="413"/>
      <c r="Z673" s="413"/>
      <c r="AA673" s="413"/>
      <c r="AB673" s="413"/>
      <c r="AC673" s="413"/>
      <c r="AD673" s="413"/>
      <c r="AE673" s="413"/>
      <c r="AF673" s="414"/>
      <c r="AG673" s="415"/>
      <c r="AH673" s="413"/>
      <c r="AI673" s="413"/>
      <c r="AJ673" s="413"/>
      <c r="AK673" s="413"/>
      <c r="AL673" s="562"/>
      <c r="AM673" s="562"/>
      <c r="AN673" s="562"/>
      <c r="AO673" s="562"/>
    </row>
    <row r="674" spans="1:41" ht="30" customHeight="1" x14ac:dyDescent="0.2">
      <c r="A674" s="679">
        <v>3</v>
      </c>
      <c r="B674" s="7" t="s">
        <v>404</v>
      </c>
      <c r="C674" s="8"/>
      <c r="D674" s="7"/>
      <c r="E674" s="7"/>
      <c r="F674" s="7"/>
      <c r="G674" s="7"/>
      <c r="H674" s="8"/>
      <c r="I674" s="7"/>
      <c r="J674" s="7"/>
      <c r="K674" s="92"/>
      <c r="L674" s="92"/>
      <c r="M674" s="578"/>
      <c r="N674" s="8"/>
      <c r="O674" s="7"/>
      <c r="P674" s="7"/>
      <c r="Q674" s="376"/>
      <c r="R674" s="376"/>
      <c r="S674" s="376"/>
      <c r="T674" s="376"/>
      <c r="U674" s="376"/>
      <c r="V674" s="376"/>
      <c r="W674" s="376"/>
      <c r="X674" s="376"/>
      <c r="Y674" s="376"/>
      <c r="Z674" s="376"/>
      <c r="AA674" s="376"/>
      <c r="AB674" s="376"/>
      <c r="AC674" s="376"/>
      <c r="AD674" s="376"/>
      <c r="AE674" s="376"/>
      <c r="AF674" s="377"/>
      <c r="AG674" s="376"/>
      <c r="AH674" s="376"/>
      <c r="AI674" s="376"/>
      <c r="AJ674" s="376"/>
      <c r="AK674" s="531"/>
    </row>
    <row r="675" spans="1:41" ht="30" customHeight="1" x14ac:dyDescent="0.2">
      <c r="A675" s="48"/>
      <c r="B675" s="93">
        <v>20</v>
      </c>
      <c r="C675" s="13" t="s">
        <v>798</v>
      </c>
      <c r="D675" s="12"/>
      <c r="E675" s="12"/>
      <c r="F675" s="12"/>
      <c r="G675" s="12"/>
      <c r="H675" s="13"/>
      <c r="I675" s="12"/>
      <c r="J675" s="12"/>
      <c r="K675" s="94"/>
      <c r="L675" s="94"/>
      <c r="M675" s="579"/>
      <c r="N675" s="13"/>
      <c r="O675" s="12"/>
      <c r="P675" s="12"/>
      <c r="Q675" s="357"/>
      <c r="R675" s="357"/>
      <c r="S675" s="357"/>
      <c r="T675" s="357"/>
      <c r="U675" s="357"/>
      <c r="V675" s="357"/>
      <c r="W675" s="357"/>
      <c r="X675" s="357"/>
      <c r="Y675" s="357"/>
      <c r="Z675" s="357"/>
      <c r="AA675" s="357"/>
      <c r="AB675" s="357"/>
      <c r="AC675" s="357"/>
      <c r="AD675" s="357"/>
      <c r="AE675" s="357"/>
      <c r="AF675" s="358"/>
      <c r="AG675" s="357"/>
      <c r="AH675" s="357"/>
      <c r="AI675" s="357"/>
      <c r="AJ675" s="357"/>
      <c r="AK675" s="445"/>
    </row>
    <row r="676" spans="1:41" ht="30" customHeight="1" x14ac:dyDescent="0.2">
      <c r="A676" s="16"/>
      <c r="B676" s="48"/>
      <c r="C676" s="648"/>
      <c r="D676" s="642"/>
      <c r="E676" s="648"/>
      <c r="F676" s="648"/>
      <c r="G676" s="181">
        <v>68</v>
      </c>
      <c r="H676" s="52" t="s">
        <v>799</v>
      </c>
      <c r="I676" s="52"/>
      <c r="J676" s="52"/>
      <c r="K676" s="96"/>
      <c r="L676" s="96"/>
      <c r="M676" s="581"/>
      <c r="N676" s="136"/>
      <c r="O676" s="52"/>
      <c r="P676" s="52"/>
      <c r="Q676" s="231"/>
      <c r="R676" s="231"/>
      <c r="S676" s="231"/>
      <c r="T676" s="231"/>
      <c r="U676" s="231"/>
      <c r="V676" s="231"/>
      <c r="W676" s="231"/>
      <c r="X676" s="231"/>
      <c r="Y676" s="231"/>
      <c r="Z676" s="231"/>
      <c r="AA676" s="231"/>
      <c r="AB676" s="231"/>
      <c r="AC676" s="231"/>
      <c r="AD676" s="231"/>
      <c r="AE676" s="231"/>
      <c r="AF676" s="359"/>
      <c r="AG676" s="231"/>
      <c r="AH676" s="231"/>
      <c r="AI676" s="231"/>
      <c r="AJ676" s="231"/>
      <c r="AK676" s="444"/>
    </row>
    <row r="677" spans="1:41" ht="56.25" customHeight="1" x14ac:dyDescent="0.2">
      <c r="A677" s="16"/>
      <c r="B677" s="16"/>
      <c r="C677" s="732">
        <v>36</v>
      </c>
      <c r="D677" s="735" t="s">
        <v>800</v>
      </c>
      <c r="E677" s="795">
        <v>0.4</v>
      </c>
      <c r="F677" s="752">
        <v>0.6</v>
      </c>
      <c r="G677" s="17"/>
      <c r="H677" s="663">
        <v>202</v>
      </c>
      <c r="I677" s="665" t="s">
        <v>801</v>
      </c>
      <c r="J677" s="18">
        <v>23</v>
      </c>
      <c r="K677" s="19">
        <v>23</v>
      </c>
      <c r="L677" s="743">
        <v>201700360036</v>
      </c>
      <c r="M677" s="21" t="s">
        <v>802</v>
      </c>
      <c r="N677" s="786" t="s">
        <v>803</v>
      </c>
      <c r="O677" s="763" t="s">
        <v>804</v>
      </c>
      <c r="P677" s="18" t="s">
        <v>41</v>
      </c>
      <c r="Q677" s="346">
        <v>0</v>
      </c>
      <c r="R677" s="346">
        <v>0</v>
      </c>
      <c r="S677" s="346">
        <v>0</v>
      </c>
      <c r="T677" s="346">
        <v>0</v>
      </c>
      <c r="U677" s="346">
        <v>0</v>
      </c>
      <c r="V677" s="346">
        <v>0</v>
      </c>
      <c r="W677" s="346">
        <v>0</v>
      </c>
      <c r="X677" s="346"/>
      <c r="Y677" s="346"/>
      <c r="Z677" s="346">
        <v>0</v>
      </c>
      <c r="AA677" s="346">
        <v>0</v>
      </c>
      <c r="AB677" s="346"/>
      <c r="AC677" s="346"/>
      <c r="AD677" s="346">
        <v>0</v>
      </c>
      <c r="AE677" s="346">
        <v>0</v>
      </c>
      <c r="AF677" s="326">
        <v>331574677</v>
      </c>
      <c r="AG677" s="326">
        <f>230600000+600000000</f>
        <v>830600000</v>
      </c>
      <c r="AH677" s="347"/>
      <c r="AI677" s="349"/>
      <c r="AJ677" s="348">
        <v>12000000</v>
      </c>
      <c r="AK677" s="346">
        <f>Q677+R677+S677+T677+U677+V677+W677+X677+Y677+Z677+AA677+AB677+AC677+AD677+AE677+AF677+AG677+AH677+AI677+AJ677</f>
        <v>1174174677</v>
      </c>
    </row>
    <row r="678" spans="1:41" ht="67.5" customHeight="1" x14ac:dyDescent="0.2">
      <c r="A678" s="16"/>
      <c r="B678" s="16"/>
      <c r="C678" s="732"/>
      <c r="D678" s="735"/>
      <c r="E678" s="795"/>
      <c r="F678" s="752"/>
      <c r="G678" s="23"/>
      <c r="H678" s="663">
        <v>203</v>
      </c>
      <c r="I678" s="665" t="s">
        <v>805</v>
      </c>
      <c r="J678" s="18">
        <v>20</v>
      </c>
      <c r="K678" s="19">
        <v>20</v>
      </c>
      <c r="L678" s="745"/>
      <c r="M678" s="21" t="s">
        <v>802</v>
      </c>
      <c r="N678" s="785"/>
      <c r="O678" s="765"/>
      <c r="P678" s="18" t="s">
        <v>41</v>
      </c>
      <c r="Q678" s="346">
        <v>0</v>
      </c>
      <c r="R678" s="346">
        <v>0</v>
      </c>
      <c r="S678" s="346">
        <v>0</v>
      </c>
      <c r="T678" s="346">
        <v>0</v>
      </c>
      <c r="U678" s="346">
        <v>0</v>
      </c>
      <c r="V678" s="346">
        <v>0</v>
      </c>
      <c r="W678" s="346">
        <v>0</v>
      </c>
      <c r="X678" s="346"/>
      <c r="Y678" s="346"/>
      <c r="Z678" s="346">
        <v>0</v>
      </c>
      <c r="AA678" s="346">
        <v>0</v>
      </c>
      <c r="AB678" s="346"/>
      <c r="AC678" s="346"/>
      <c r="AD678" s="346">
        <v>0</v>
      </c>
      <c r="AE678" s="346">
        <v>0</v>
      </c>
      <c r="AF678" s="397">
        <f>168000000</f>
        <v>168000000</v>
      </c>
      <c r="AG678" s="347"/>
      <c r="AH678" s="346">
        <v>0</v>
      </c>
      <c r="AI678" s="348"/>
      <c r="AJ678" s="348">
        <v>0</v>
      </c>
      <c r="AK678" s="346">
        <f>Q678+R678+S678+T678+U678+V678+W678+X678+Y678+Z678+AA678+AB678+AC678+AD678+AE678+AF678+AG678+AH678+AI678+AJ678</f>
        <v>168000000</v>
      </c>
    </row>
    <row r="679" spans="1:41" ht="30" customHeight="1" x14ac:dyDescent="0.2">
      <c r="A679" s="16"/>
      <c r="B679" s="16"/>
      <c r="C679" s="649"/>
      <c r="D679" s="644"/>
      <c r="E679" s="649"/>
      <c r="F679" s="649"/>
      <c r="G679" s="30"/>
      <c r="H679" s="31"/>
      <c r="I679" s="30"/>
      <c r="J679" s="32"/>
      <c r="K679" s="82"/>
      <c r="L679" s="82"/>
      <c r="M679" s="151"/>
      <c r="N679" s="32"/>
      <c r="O679" s="151"/>
      <c r="P679" s="159">
        <f t="shared" ref="P679:AK679" si="161">SUM(P677:P678)</f>
        <v>0</v>
      </c>
      <c r="Q679" s="407">
        <f t="shared" si="161"/>
        <v>0</v>
      </c>
      <c r="R679" s="407">
        <f t="shared" si="161"/>
        <v>0</v>
      </c>
      <c r="S679" s="407">
        <f t="shared" si="161"/>
        <v>0</v>
      </c>
      <c r="T679" s="407">
        <f t="shared" si="161"/>
        <v>0</v>
      </c>
      <c r="U679" s="407">
        <f t="shared" si="161"/>
        <v>0</v>
      </c>
      <c r="V679" s="407">
        <f t="shared" si="161"/>
        <v>0</v>
      </c>
      <c r="W679" s="407">
        <f t="shared" si="161"/>
        <v>0</v>
      </c>
      <c r="X679" s="407">
        <f t="shared" si="161"/>
        <v>0</v>
      </c>
      <c r="Y679" s="407">
        <f t="shared" si="161"/>
        <v>0</v>
      </c>
      <c r="Z679" s="407">
        <f t="shared" si="161"/>
        <v>0</v>
      </c>
      <c r="AA679" s="407">
        <f t="shared" si="161"/>
        <v>0</v>
      </c>
      <c r="AB679" s="407">
        <f t="shared" si="161"/>
        <v>0</v>
      </c>
      <c r="AC679" s="407">
        <f t="shared" si="161"/>
        <v>0</v>
      </c>
      <c r="AD679" s="407">
        <f t="shared" si="161"/>
        <v>0</v>
      </c>
      <c r="AE679" s="407">
        <f t="shared" si="161"/>
        <v>0</v>
      </c>
      <c r="AF679" s="407">
        <f t="shared" si="161"/>
        <v>499574677</v>
      </c>
      <c r="AG679" s="407">
        <f t="shared" si="161"/>
        <v>830600000</v>
      </c>
      <c r="AH679" s="407">
        <f t="shared" si="161"/>
        <v>0</v>
      </c>
      <c r="AI679" s="407">
        <f t="shared" si="161"/>
        <v>0</v>
      </c>
      <c r="AJ679" s="407">
        <f t="shared" si="161"/>
        <v>12000000</v>
      </c>
      <c r="AK679" s="407">
        <f t="shared" si="161"/>
        <v>1342174677</v>
      </c>
    </row>
    <row r="680" spans="1:41" ht="30" customHeight="1" x14ac:dyDescent="0.2">
      <c r="A680" s="16"/>
      <c r="B680" s="16"/>
      <c r="C680" s="116"/>
      <c r="D680" s="44"/>
      <c r="E680" s="116"/>
      <c r="F680" s="116"/>
      <c r="G680" s="44"/>
      <c r="H680" s="116"/>
      <c r="I680" s="44"/>
      <c r="J680" s="116"/>
      <c r="K680" s="117"/>
      <c r="L680" s="229"/>
      <c r="M680" s="74"/>
      <c r="N680" s="345"/>
      <c r="O680" s="74"/>
      <c r="P680" s="116"/>
      <c r="Q680" s="350"/>
      <c r="R680" s="351"/>
      <c r="S680" s="350"/>
      <c r="T680" s="350"/>
      <c r="U680" s="350"/>
      <c r="V680" s="350"/>
      <c r="W680" s="350"/>
      <c r="X680" s="350"/>
      <c r="Y680" s="350"/>
      <c r="Z680" s="350"/>
      <c r="AA680" s="350"/>
      <c r="AB680" s="351"/>
      <c r="AC680" s="351"/>
      <c r="AD680" s="350"/>
      <c r="AE680" s="350"/>
      <c r="AF680" s="352"/>
      <c r="AG680" s="353"/>
      <c r="AH680" s="350"/>
      <c r="AI680" s="350"/>
      <c r="AJ680" s="351"/>
      <c r="AK680" s="346"/>
    </row>
    <row r="681" spans="1:41" ht="30" customHeight="1" x14ac:dyDescent="0.2">
      <c r="A681" s="16"/>
      <c r="B681" s="16"/>
      <c r="C681" s="648"/>
      <c r="D681" s="642"/>
      <c r="E681" s="648"/>
      <c r="F681" s="648"/>
      <c r="G681" s="181">
        <v>69</v>
      </c>
      <c r="H681" s="52" t="s">
        <v>806</v>
      </c>
      <c r="I681" s="52"/>
      <c r="J681" s="52"/>
      <c r="K681" s="96"/>
      <c r="L681" s="96"/>
      <c r="M681" s="581"/>
      <c r="N681" s="136"/>
      <c r="O681" s="52"/>
      <c r="P681" s="52"/>
      <c r="Q681" s="231"/>
      <c r="R681" s="231"/>
      <c r="S681" s="231"/>
      <c r="T681" s="231"/>
      <c r="U681" s="231"/>
      <c r="V681" s="231"/>
      <c r="W681" s="231"/>
      <c r="X681" s="231"/>
      <c r="Y681" s="231"/>
      <c r="Z681" s="231"/>
      <c r="AA681" s="231"/>
      <c r="AB681" s="231"/>
      <c r="AC681" s="231"/>
      <c r="AD681" s="231"/>
      <c r="AE681" s="231"/>
      <c r="AF681" s="359"/>
      <c r="AG681" s="231"/>
      <c r="AH681" s="231"/>
      <c r="AI681" s="231"/>
      <c r="AJ681" s="231"/>
      <c r="AK681" s="444"/>
    </row>
    <row r="682" spans="1:41" ht="61.5" customHeight="1" x14ac:dyDescent="0.2">
      <c r="A682" s="16"/>
      <c r="B682" s="16"/>
      <c r="C682" s="638">
        <v>36</v>
      </c>
      <c r="D682" s="643" t="s">
        <v>800</v>
      </c>
      <c r="E682" s="646">
        <v>0.4</v>
      </c>
      <c r="F682" s="647">
        <v>0.6</v>
      </c>
      <c r="G682" s="665"/>
      <c r="H682" s="673">
        <v>204</v>
      </c>
      <c r="I682" s="665" t="s">
        <v>807</v>
      </c>
      <c r="J682" s="18">
        <v>13</v>
      </c>
      <c r="K682" s="19">
        <v>13</v>
      </c>
      <c r="L682" s="20">
        <v>201700360036</v>
      </c>
      <c r="M682" s="21" t="s">
        <v>802</v>
      </c>
      <c r="N682" s="639" t="s">
        <v>803</v>
      </c>
      <c r="O682" s="21" t="s">
        <v>804</v>
      </c>
      <c r="P682" s="18" t="s">
        <v>41</v>
      </c>
      <c r="Q682" s="346">
        <v>0</v>
      </c>
      <c r="R682" s="346">
        <v>0</v>
      </c>
      <c r="S682" s="346">
        <v>0</v>
      </c>
      <c r="T682" s="346">
        <v>0</v>
      </c>
      <c r="U682" s="346">
        <v>0</v>
      </c>
      <c r="V682" s="346">
        <v>0</v>
      </c>
      <c r="W682" s="346">
        <v>0</v>
      </c>
      <c r="X682" s="346"/>
      <c r="Y682" s="346"/>
      <c r="Z682" s="346">
        <v>0</v>
      </c>
      <c r="AA682" s="346">
        <v>0</v>
      </c>
      <c r="AB682" s="346"/>
      <c r="AC682" s="346"/>
      <c r="AD682" s="346">
        <v>0</v>
      </c>
      <c r="AE682" s="346">
        <v>0</v>
      </c>
      <c r="AF682" s="397">
        <v>110200000</v>
      </c>
      <c r="AG682" s="326">
        <v>60000000</v>
      </c>
      <c r="AH682" s="346">
        <v>0</v>
      </c>
      <c r="AI682" s="348"/>
      <c r="AJ682" s="348">
        <v>0</v>
      </c>
      <c r="AK682" s="346">
        <f>Q682+R682+S682+T682+U682+V682+W682+X682+Y682+Z682+AA682+AB682+AC682+AD682+AE682+AF682+AG682+AH682+AI682+AJ682</f>
        <v>170200000</v>
      </c>
    </row>
    <row r="683" spans="1:41" ht="30" customHeight="1" x14ac:dyDescent="0.2">
      <c r="A683" s="16"/>
      <c r="B683" s="16"/>
      <c r="C683" s="649"/>
      <c r="D683" s="644"/>
      <c r="E683" s="649"/>
      <c r="F683" s="649"/>
      <c r="G683" s="30"/>
      <c r="H683" s="31"/>
      <c r="I683" s="30"/>
      <c r="J683" s="32"/>
      <c r="K683" s="82"/>
      <c r="L683" s="82"/>
      <c r="M683" s="151"/>
      <c r="N683" s="32"/>
      <c r="O683" s="151"/>
      <c r="P683" s="32"/>
      <c r="Q683" s="355">
        <f t="shared" ref="Q683:AK683" si="162">SUM(Q682)</f>
        <v>0</v>
      </c>
      <c r="R683" s="355">
        <f t="shared" si="162"/>
        <v>0</v>
      </c>
      <c r="S683" s="355">
        <f t="shared" si="162"/>
        <v>0</v>
      </c>
      <c r="T683" s="355">
        <f t="shared" si="162"/>
        <v>0</v>
      </c>
      <c r="U683" s="355">
        <f t="shared" si="162"/>
        <v>0</v>
      </c>
      <c r="V683" s="355">
        <f t="shared" si="162"/>
        <v>0</v>
      </c>
      <c r="W683" s="355">
        <f t="shared" si="162"/>
        <v>0</v>
      </c>
      <c r="X683" s="355">
        <f t="shared" si="162"/>
        <v>0</v>
      </c>
      <c r="Y683" s="355">
        <f t="shared" si="162"/>
        <v>0</v>
      </c>
      <c r="Z683" s="355">
        <f t="shared" si="162"/>
        <v>0</v>
      </c>
      <c r="AA683" s="355">
        <f t="shared" si="162"/>
        <v>0</v>
      </c>
      <c r="AB683" s="355">
        <f t="shared" si="162"/>
        <v>0</v>
      </c>
      <c r="AC683" s="355">
        <f t="shared" si="162"/>
        <v>0</v>
      </c>
      <c r="AD683" s="355">
        <f t="shared" si="162"/>
        <v>0</v>
      </c>
      <c r="AE683" s="355">
        <f t="shared" si="162"/>
        <v>0</v>
      </c>
      <c r="AF683" s="355">
        <f t="shared" si="162"/>
        <v>110200000</v>
      </c>
      <c r="AG683" s="355">
        <f t="shared" si="162"/>
        <v>60000000</v>
      </c>
      <c r="AH683" s="355">
        <f t="shared" si="162"/>
        <v>0</v>
      </c>
      <c r="AI683" s="355">
        <f t="shared" si="162"/>
        <v>0</v>
      </c>
      <c r="AJ683" s="355">
        <f t="shared" si="162"/>
        <v>0</v>
      </c>
      <c r="AK683" s="355">
        <f t="shared" si="162"/>
        <v>170200000</v>
      </c>
    </row>
    <row r="684" spans="1:41" ht="30" customHeight="1" x14ac:dyDescent="0.2">
      <c r="A684" s="16"/>
      <c r="B684" s="16"/>
      <c r="C684" s="116"/>
      <c r="D684" s="44"/>
      <c r="E684" s="116"/>
      <c r="F684" s="116"/>
      <c r="G684" s="44"/>
      <c r="H684" s="116"/>
      <c r="I684" s="44"/>
      <c r="J684" s="116"/>
      <c r="K684" s="117"/>
      <c r="L684" s="229"/>
      <c r="M684" s="74"/>
      <c r="N684" s="345"/>
      <c r="O684" s="74"/>
      <c r="P684" s="116"/>
      <c r="Q684" s="350"/>
      <c r="R684" s="350"/>
      <c r="S684" s="350"/>
      <c r="T684" s="350"/>
      <c r="U684" s="350"/>
      <c r="V684" s="350"/>
      <c r="W684" s="350"/>
      <c r="X684" s="350"/>
      <c r="Y684" s="350"/>
      <c r="Z684" s="350"/>
      <c r="AA684" s="350"/>
      <c r="AB684" s="351"/>
      <c r="AC684" s="351"/>
      <c r="AD684" s="350"/>
      <c r="AE684" s="350"/>
      <c r="AF684" s="352"/>
      <c r="AG684" s="353"/>
      <c r="AH684" s="350"/>
      <c r="AI684" s="350"/>
      <c r="AJ684" s="351"/>
      <c r="AK684" s="346"/>
    </row>
    <row r="685" spans="1:41" ht="30" customHeight="1" x14ac:dyDescent="0.2">
      <c r="A685" s="16"/>
      <c r="B685" s="16"/>
      <c r="C685" s="648"/>
      <c r="D685" s="642"/>
      <c r="E685" s="648"/>
      <c r="F685" s="648"/>
      <c r="G685" s="181">
        <v>70</v>
      </c>
      <c r="H685" s="51" t="s">
        <v>808</v>
      </c>
      <c r="I685" s="51"/>
      <c r="J685" s="51"/>
      <c r="K685" s="294"/>
      <c r="L685" s="294"/>
      <c r="M685" s="581"/>
      <c r="N685" s="136"/>
      <c r="O685" s="51"/>
      <c r="P685" s="51"/>
      <c r="Q685" s="231"/>
      <c r="R685" s="231"/>
      <c r="S685" s="231"/>
      <c r="T685" s="231"/>
      <c r="U685" s="231"/>
      <c r="V685" s="231"/>
      <c r="W685" s="231"/>
      <c r="X685" s="231"/>
      <c r="Y685" s="231"/>
      <c r="Z685" s="231"/>
      <c r="AA685" s="231"/>
      <c r="AB685" s="231"/>
      <c r="AC685" s="231"/>
      <c r="AD685" s="231"/>
      <c r="AE685" s="231"/>
      <c r="AF685" s="359"/>
      <c r="AG685" s="231"/>
      <c r="AH685" s="231"/>
      <c r="AI685" s="231"/>
      <c r="AJ685" s="231"/>
      <c r="AK685" s="444"/>
    </row>
    <row r="686" spans="1:41" ht="65.25" customHeight="1" x14ac:dyDescent="0.2">
      <c r="A686" s="16"/>
      <c r="B686" s="16"/>
      <c r="C686" s="638">
        <v>36</v>
      </c>
      <c r="D686" s="643" t="s">
        <v>800</v>
      </c>
      <c r="E686" s="646">
        <v>0.4</v>
      </c>
      <c r="F686" s="647">
        <v>0.6</v>
      </c>
      <c r="G686" s="665"/>
      <c r="H686" s="673">
        <v>205</v>
      </c>
      <c r="I686" s="665" t="s">
        <v>809</v>
      </c>
      <c r="J686" s="18">
        <v>4</v>
      </c>
      <c r="K686" s="19">
        <v>1</v>
      </c>
      <c r="L686" s="20">
        <v>201700360037</v>
      </c>
      <c r="M686" s="21" t="s">
        <v>802</v>
      </c>
      <c r="N686" s="639" t="s">
        <v>810</v>
      </c>
      <c r="O686" s="21" t="s">
        <v>811</v>
      </c>
      <c r="P686" s="18" t="s">
        <v>54</v>
      </c>
      <c r="Q686" s="346">
        <v>0</v>
      </c>
      <c r="R686" s="346">
        <v>0</v>
      </c>
      <c r="S686" s="346">
        <v>0</v>
      </c>
      <c r="T686" s="346">
        <v>0</v>
      </c>
      <c r="U686" s="346">
        <v>0</v>
      </c>
      <c r="V686" s="346">
        <v>0</v>
      </c>
      <c r="W686" s="346">
        <v>0</v>
      </c>
      <c r="X686" s="346"/>
      <c r="Y686" s="346"/>
      <c r="Z686" s="346">
        <v>0</v>
      </c>
      <c r="AA686" s="346">
        <v>0</v>
      </c>
      <c r="AB686" s="346"/>
      <c r="AC686" s="346"/>
      <c r="AD686" s="346">
        <v>0</v>
      </c>
      <c r="AE686" s="346">
        <v>0</v>
      </c>
      <c r="AF686" s="326">
        <v>80000000</v>
      </c>
      <c r="AG686" s="326">
        <f>131000000+111879742.49</f>
        <v>242879742.49000001</v>
      </c>
      <c r="AH686" s="346">
        <v>0</v>
      </c>
      <c r="AI686" s="348"/>
      <c r="AJ686" s="326">
        <v>97227642</v>
      </c>
      <c r="AK686" s="346">
        <f>Q686+R686+S686+T686+U686+V686+W686+X686+Y686+Z686+AA686+AB686+AC686+AD686+AE686+AF686+AG686+AH686+AI686+AJ686</f>
        <v>420107384.49000001</v>
      </c>
    </row>
    <row r="687" spans="1:41" ht="30" customHeight="1" x14ac:dyDescent="0.2">
      <c r="A687" s="16"/>
      <c r="B687" s="16"/>
      <c r="C687" s="649"/>
      <c r="D687" s="644"/>
      <c r="E687" s="649"/>
      <c r="F687" s="649"/>
      <c r="G687" s="30"/>
      <c r="H687" s="31"/>
      <c r="I687" s="30"/>
      <c r="J687" s="32"/>
      <c r="K687" s="82"/>
      <c r="L687" s="82"/>
      <c r="M687" s="151"/>
      <c r="N687" s="32"/>
      <c r="O687" s="151"/>
      <c r="P687" s="32"/>
      <c r="Q687" s="355">
        <f t="shared" ref="Q687:AK687" si="163">SUM(Q686)</f>
        <v>0</v>
      </c>
      <c r="R687" s="355">
        <f t="shared" si="163"/>
        <v>0</v>
      </c>
      <c r="S687" s="355">
        <f t="shared" si="163"/>
        <v>0</v>
      </c>
      <c r="T687" s="355">
        <f t="shared" si="163"/>
        <v>0</v>
      </c>
      <c r="U687" s="355">
        <f t="shared" si="163"/>
        <v>0</v>
      </c>
      <c r="V687" s="355">
        <f t="shared" si="163"/>
        <v>0</v>
      </c>
      <c r="W687" s="355">
        <f t="shared" si="163"/>
        <v>0</v>
      </c>
      <c r="X687" s="355">
        <f t="shared" si="163"/>
        <v>0</v>
      </c>
      <c r="Y687" s="355">
        <f t="shared" si="163"/>
        <v>0</v>
      </c>
      <c r="Z687" s="355">
        <f t="shared" si="163"/>
        <v>0</v>
      </c>
      <c r="AA687" s="355">
        <f t="shared" si="163"/>
        <v>0</v>
      </c>
      <c r="AB687" s="355">
        <f t="shared" si="163"/>
        <v>0</v>
      </c>
      <c r="AC687" s="355">
        <f t="shared" si="163"/>
        <v>0</v>
      </c>
      <c r="AD687" s="355">
        <f t="shared" si="163"/>
        <v>0</v>
      </c>
      <c r="AE687" s="355">
        <f t="shared" si="163"/>
        <v>0</v>
      </c>
      <c r="AF687" s="355">
        <f t="shared" si="163"/>
        <v>80000000</v>
      </c>
      <c r="AG687" s="355">
        <f t="shared" si="163"/>
        <v>242879742.49000001</v>
      </c>
      <c r="AH687" s="355">
        <f t="shared" si="163"/>
        <v>0</v>
      </c>
      <c r="AI687" s="355">
        <f t="shared" si="163"/>
        <v>0</v>
      </c>
      <c r="AJ687" s="355">
        <f t="shared" si="163"/>
        <v>97227642</v>
      </c>
      <c r="AK687" s="355">
        <f t="shared" si="163"/>
        <v>420107384.49000001</v>
      </c>
    </row>
    <row r="688" spans="1:41" ht="30" customHeight="1" x14ac:dyDescent="0.2">
      <c r="A688" s="16"/>
      <c r="B688" s="16"/>
      <c r="C688" s="116"/>
      <c r="D688" s="44"/>
      <c r="E688" s="116"/>
      <c r="F688" s="116"/>
      <c r="G688" s="44"/>
      <c r="H688" s="116"/>
      <c r="I688" s="44"/>
      <c r="J688" s="116"/>
      <c r="K688" s="117"/>
      <c r="L688" s="229"/>
      <c r="M688" s="74"/>
      <c r="N688" s="345"/>
      <c r="O688" s="74"/>
      <c r="P688" s="116"/>
      <c r="Q688" s="350"/>
      <c r="R688" s="350"/>
      <c r="S688" s="350"/>
      <c r="T688" s="350"/>
      <c r="U688" s="350"/>
      <c r="V688" s="350"/>
      <c r="W688" s="350"/>
      <c r="X688" s="350"/>
      <c r="Y688" s="350"/>
      <c r="Z688" s="350"/>
      <c r="AA688" s="350"/>
      <c r="AB688" s="351"/>
      <c r="AC688" s="351"/>
      <c r="AD688" s="350"/>
      <c r="AE688" s="350"/>
      <c r="AF688" s="352"/>
      <c r="AG688" s="353"/>
      <c r="AH688" s="350"/>
      <c r="AI688" s="350"/>
      <c r="AJ688" s="350"/>
      <c r="AK688" s="346"/>
    </row>
    <row r="689" spans="1:37" ht="30" customHeight="1" x14ac:dyDescent="0.2">
      <c r="A689" s="16"/>
      <c r="B689" s="16"/>
      <c r="C689" s="648"/>
      <c r="D689" s="642"/>
      <c r="E689" s="648"/>
      <c r="F689" s="648"/>
      <c r="G689" s="181">
        <v>71</v>
      </c>
      <c r="H689" s="52" t="s">
        <v>812</v>
      </c>
      <c r="I689" s="52"/>
      <c r="J689" s="52"/>
      <c r="K689" s="96"/>
      <c r="L689" s="96"/>
      <c r="M689" s="581"/>
      <c r="N689" s="136"/>
      <c r="O689" s="52"/>
      <c r="P689" s="52"/>
      <c r="Q689" s="231"/>
      <c r="R689" s="231"/>
      <c r="S689" s="231"/>
      <c r="T689" s="231"/>
      <c r="U689" s="231"/>
      <c r="V689" s="231"/>
      <c r="W689" s="231"/>
      <c r="X689" s="231"/>
      <c r="Y689" s="231"/>
      <c r="Z689" s="231"/>
      <c r="AA689" s="231"/>
      <c r="AB689" s="231"/>
      <c r="AC689" s="231"/>
      <c r="AD689" s="231"/>
      <c r="AE689" s="231"/>
      <c r="AF689" s="359"/>
      <c r="AG689" s="231"/>
      <c r="AH689" s="231"/>
      <c r="AI689" s="231"/>
      <c r="AJ689" s="231"/>
      <c r="AK689" s="444"/>
    </row>
    <row r="690" spans="1:37" ht="91.5" customHeight="1" x14ac:dyDescent="0.2">
      <c r="A690" s="16"/>
      <c r="B690" s="16"/>
      <c r="C690" s="732">
        <v>36</v>
      </c>
      <c r="D690" s="732" t="s">
        <v>800</v>
      </c>
      <c r="E690" s="795">
        <v>0.4</v>
      </c>
      <c r="F690" s="752">
        <v>0.6</v>
      </c>
      <c r="G690" s="731"/>
      <c r="H690" s="673">
        <v>206</v>
      </c>
      <c r="I690" s="665" t="s">
        <v>813</v>
      </c>
      <c r="J690" s="18">
        <v>12</v>
      </c>
      <c r="K690" s="19">
        <v>12</v>
      </c>
      <c r="L690" s="743">
        <v>201700360039</v>
      </c>
      <c r="M690" s="21" t="s">
        <v>802</v>
      </c>
      <c r="N690" s="786" t="s">
        <v>814</v>
      </c>
      <c r="O690" s="734" t="s">
        <v>815</v>
      </c>
      <c r="P690" s="18" t="s">
        <v>41</v>
      </c>
      <c r="Q690" s="346">
        <v>0</v>
      </c>
      <c r="R690" s="346">
        <v>0</v>
      </c>
      <c r="S690" s="346">
        <v>0</v>
      </c>
      <c r="T690" s="346">
        <v>0</v>
      </c>
      <c r="U690" s="346">
        <v>0</v>
      </c>
      <c r="V690" s="346">
        <v>0</v>
      </c>
      <c r="W690" s="346">
        <v>0</v>
      </c>
      <c r="X690" s="346"/>
      <c r="Y690" s="346"/>
      <c r="Z690" s="346">
        <v>0</v>
      </c>
      <c r="AA690" s="346">
        <v>0</v>
      </c>
      <c r="AB690" s="346"/>
      <c r="AC690" s="346"/>
      <c r="AD690" s="346">
        <v>0</v>
      </c>
      <c r="AE690" s="346">
        <v>0</v>
      </c>
      <c r="AF690" s="326"/>
      <c r="AG690" s="326">
        <f>60000000+15000000</f>
        <v>75000000</v>
      </c>
      <c r="AH690" s="346">
        <v>0</v>
      </c>
      <c r="AI690" s="348"/>
      <c r="AJ690" s="348">
        <v>0</v>
      </c>
      <c r="AK690" s="346">
        <f>Q690+R690+S690+T690+U690+V690+W690+X690+Y690+Z690+AA690+AB690+AC690+AD690+AE690+AF690+AG690+AH690+AI690+AJ690</f>
        <v>75000000</v>
      </c>
    </row>
    <row r="691" spans="1:37" ht="48" customHeight="1" x14ac:dyDescent="0.2">
      <c r="A691" s="16"/>
      <c r="B691" s="16"/>
      <c r="C691" s="732"/>
      <c r="D691" s="732"/>
      <c r="E691" s="795"/>
      <c r="F691" s="752"/>
      <c r="G691" s="732"/>
      <c r="H691" s="673">
        <v>207</v>
      </c>
      <c r="I691" s="665" t="s">
        <v>816</v>
      </c>
      <c r="J691" s="18">
        <v>4</v>
      </c>
      <c r="K691" s="19">
        <v>1</v>
      </c>
      <c r="L691" s="744"/>
      <c r="M691" s="21" t="s">
        <v>802</v>
      </c>
      <c r="N691" s="784"/>
      <c r="O691" s="735"/>
      <c r="P691" s="18" t="s">
        <v>54</v>
      </c>
      <c r="Q691" s="346">
        <v>0</v>
      </c>
      <c r="R691" s="346">
        <v>0</v>
      </c>
      <c r="S691" s="346">
        <v>0</v>
      </c>
      <c r="T691" s="346">
        <v>0</v>
      </c>
      <c r="U691" s="346">
        <v>0</v>
      </c>
      <c r="V691" s="346">
        <v>0</v>
      </c>
      <c r="W691" s="346">
        <v>0</v>
      </c>
      <c r="X691" s="346"/>
      <c r="Y691" s="346"/>
      <c r="Z691" s="346">
        <v>0</v>
      </c>
      <c r="AA691" s="346">
        <v>0</v>
      </c>
      <c r="AB691" s="346"/>
      <c r="AC691" s="346"/>
      <c r="AD691" s="346">
        <v>0</v>
      </c>
      <c r="AE691" s="346">
        <v>0</v>
      </c>
      <c r="AF691" s="326"/>
      <c r="AG691" s="565">
        <f>100000000+215000000+318766352</f>
        <v>633766352</v>
      </c>
      <c r="AH691" s="540">
        <f>9101228+9792581+7266530+113181+5954640</f>
        <v>32228160</v>
      </c>
      <c r="AI691" s="348"/>
      <c r="AJ691" s="348">
        <v>0</v>
      </c>
      <c r="AK691" s="346">
        <f>Q691+R691+S691+T691+U691+V691+W691+X691+Y691+Z691+AA691+AB691+AC691+AD691+AE691+AF691+AG691+AH691+AI691+AJ691</f>
        <v>665994512</v>
      </c>
    </row>
    <row r="692" spans="1:37" ht="48" customHeight="1" x14ac:dyDescent="0.2">
      <c r="A692" s="16"/>
      <c r="B692" s="16"/>
      <c r="C692" s="732"/>
      <c r="D692" s="732"/>
      <c r="E692" s="795"/>
      <c r="F692" s="752"/>
      <c r="G692" s="733"/>
      <c r="H692" s="673">
        <v>208</v>
      </c>
      <c r="I692" s="665" t="s">
        <v>817</v>
      </c>
      <c r="J692" s="18">
        <v>1</v>
      </c>
      <c r="K692" s="19">
        <v>1</v>
      </c>
      <c r="L692" s="745"/>
      <c r="M692" s="21" t="s">
        <v>802</v>
      </c>
      <c r="N692" s="785"/>
      <c r="O692" s="736"/>
      <c r="P692" s="18" t="s">
        <v>41</v>
      </c>
      <c r="Q692" s="346">
        <v>0</v>
      </c>
      <c r="R692" s="346">
        <v>0</v>
      </c>
      <c r="S692" s="346">
        <v>0</v>
      </c>
      <c r="T692" s="346">
        <v>0</v>
      </c>
      <c r="U692" s="346">
        <v>0</v>
      </c>
      <c r="V692" s="346">
        <v>0</v>
      </c>
      <c r="W692" s="346">
        <v>0</v>
      </c>
      <c r="X692" s="346"/>
      <c r="Y692" s="346"/>
      <c r="Z692" s="346">
        <v>0</v>
      </c>
      <c r="AA692" s="346">
        <v>0</v>
      </c>
      <c r="AB692" s="346"/>
      <c r="AC692" s="346"/>
      <c r="AD692" s="346">
        <v>0</v>
      </c>
      <c r="AE692" s="346">
        <v>0</v>
      </c>
      <c r="AF692" s="326">
        <v>20000000</v>
      </c>
      <c r="AG692" s="326">
        <f>25000000+70000000</f>
        <v>95000000</v>
      </c>
      <c r="AH692" s="346">
        <v>0</v>
      </c>
      <c r="AI692" s="348"/>
      <c r="AJ692" s="348">
        <v>0</v>
      </c>
      <c r="AK692" s="346">
        <f>Q692+R692+S692+T692+U692+V692+W692+X692+Y692+Z692+AA692+AB692+AC692+AD692+AE692+AF692+AG692+AH692+AI692+AJ692</f>
        <v>115000000</v>
      </c>
    </row>
    <row r="693" spans="1:37" ht="30" customHeight="1" x14ac:dyDescent="0.2">
      <c r="A693" s="16"/>
      <c r="B693" s="29"/>
      <c r="C693" s="649"/>
      <c r="D693" s="644"/>
      <c r="E693" s="649"/>
      <c r="F693" s="649"/>
      <c r="G693" s="30"/>
      <c r="H693" s="31"/>
      <c r="I693" s="30"/>
      <c r="J693" s="32"/>
      <c r="K693" s="82"/>
      <c r="L693" s="82"/>
      <c r="M693" s="151"/>
      <c r="N693" s="32"/>
      <c r="O693" s="151"/>
      <c r="P693" s="32"/>
      <c r="Q693" s="355">
        <f>SUM(Q690:Q692)</f>
        <v>0</v>
      </c>
      <c r="R693" s="355">
        <f t="shared" ref="R693:AK693" si="164">SUM(R690:R692)</f>
        <v>0</v>
      </c>
      <c r="S693" s="355">
        <f t="shared" si="164"/>
        <v>0</v>
      </c>
      <c r="T693" s="355">
        <f t="shared" si="164"/>
        <v>0</v>
      </c>
      <c r="U693" s="355">
        <f t="shared" si="164"/>
        <v>0</v>
      </c>
      <c r="V693" s="355">
        <f t="shared" si="164"/>
        <v>0</v>
      </c>
      <c r="W693" s="355">
        <f t="shared" si="164"/>
        <v>0</v>
      </c>
      <c r="X693" s="355">
        <f t="shared" si="164"/>
        <v>0</v>
      </c>
      <c r="Y693" s="355">
        <f t="shared" si="164"/>
        <v>0</v>
      </c>
      <c r="Z693" s="355">
        <f t="shared" si="164"/>
        <v>0</v>
      </c>
      <c r="AA693" s="355">
        <f t="shared" si="164"/>
        <v>0</v>
      </c>
      <c r="AB693" s="355">
        <f t="shared" si="164"/>
        <v>0</v>
      </c>
      <c r="AC693" s="355">
        <f t="shared" si="164"/>
        <v>0</v>
      </c>
      <c r="AD693" s="355">
        <f t="shared" si="164"/>
        <v>0</v>
      </c>
      <c r="AE693" s="355">
        <f t="shared" si="164"/>
        <v>0</v>
      </c>
      <c r="AF693" s="355">
        <f t="shared" si="164"/>
        <v>20000000</v>
      </c>
      <c r="AG693" s="355">
        <f t="shared" si="164"/>
        <v>803766352</v>
      </c>
      <c r="AH693" s="355">
        <f t="shared" si="164"/>
        <v>32228160</v>
      </c>
      <c r="AI693" s="355">
        <f t="shared" si="164"/>
        <v>0</v>
      </c>
      <c r="AJ693" s="355">
        <f t="shared" si="164"/>
        <v>0</v>
      </c>
      <c r="AK693" s="355">
        <f t="shared" si="164"/>
        <v>855994512</v>
      </c>
    </row>
    <row r="694" spans="1:37" ht="30" customHeight="1" x14ac:dyDescent="0.2">
      <c r="A694" s="16"/>
      <c r="B694" s="222"/>
      <c r="C694" s="72"/>
      <c r="D694" s="34"/>
      <c r="E694" s="35"/>
      <c r="F694" s="35"/>
      <c r="G694" s="34"/>
      <c r="H694" s="35"/>
      <c r="I694" s="34"/>
      <c r="J694" s="36"/>
      <c r="K694" s="84"/>
      <c r="L694" s="84"/>
      <c r="M694" s="303"/>
      <c r="N694" s="36"/>
      <c r="O694" s="303"/>
      <c r="P694" s="36"/>
      <c r="Q694" s="361">
        <f>Q693+Q687+Q683+Q679</f>
        <v>0</v>
      </c>
      <c r="R694" s="361">
        <f t="shared" ref="R694:AK694" si="165">R693+R687+R683+R679</f>
        <v>0</v>
      </c>
      <c r="S694" s="361">
        <f t="shared" si="165"/>
        <v>0</v>
      </c>
      <c r="T694" s="361">
        <f t="shared" si="165"/>
        <v>0</v>
      </c>
      <c r="U694" s="361">
        <f t="shared" si="165"/>
        <v>0</v>
      </c>
      <c r="V694" s="361">
        <f t="shared" si="165"/>
        <v>0</v>
      </c>
      <c r="W694" s="361">
        <f t="shared" si="165"/>
        <v>0</v>
      </c>
      <c r="X694" s="361">
        <f t="shared" si="165"/>
        <v>0</v>
      </c>
      <c r="Y694" s="361">
        <f t="shared" si="165"/>
        <v>0</v>
      </c>
      <c r="Z694" s="361">
        <f t="shared" si="165"/>
        <v>0</v>
      </c>
      <c r="AA694" s="361">
        <f t="shared" si="165"/>
        <v>0</v>
      </c>
      <c r="AB694" s="361">
        <f t="shared" si="165"/>
        <v>0</v>
      </c>
      <c r="AC694" s="361">
        <f t="shared" si="165"/>
        <v>0</v>
      </c>
      <c r="AD694" s="361">
        <f t="shared" si="165"/>
        <v>0</v>
      </c>
      <c r="AE694" s="361">
        <f t="shared" si="165"/>
        <v>0</v>
      </c>
      <c r="AF694" s="361">
        <f t="shared" si="165"/>
        <v>709774677</v>
      </c>
      <c r="AG694" s="361">
        <f t="shared" si="165"/>
        <v>1937246094.49</v>
      </c>
      <c r="AH694" s="361">
        <f t="shared" si="165"/>
        <v>32228160</v>
      </c>
      <c r="AI694" s="361">
        <f t="shared" si="165"/>
        <v>0</v>
      </c>
      <c r="AJ694" s="361">
        <f t="shared" si="165"/>
        <v>109227642</v>
      </c>
      <c r="AK694" s="361">
        <f t="shared" si="165"/>
        <v>2788476573.4899998</v>
      </c>
    </row>
    <row r="695" spans="1:37" ht="30" customHeight="1" x14ac:dyDescent="0.2">
      <c r="A695" s="16"/>
      <c r="B695" s="44"/>
      <c r="C695" s="116"/>
      <c r="D695" s="44"/>
      <c r="E695" s="116"/>
      <c r="F695" s="116"/>
      <c r="G695" s="44"/>
      <c r="H695" s="116"/>
      <c r="I695" s="44"/>
      <c r="J695" s="116"/>
      <c r="K695" s="117"/>
      <c r="L695" s="229"/>
      <c r="M695" s="74"/>
      <c r="N695" s="345"/>
      <c r="O695" s="74"/>
      <c r="P695" s="116"/>
      <c r="Q695" s="350"/>
      <c r="R695" s="350"/>
      <c r="S695" s="350"/>
      <c r="T695" s="350"/>
      <c r="U695" s="350"/>
      <c r="V695" s="350"/>
      <c r="W695" s="350"/>
      <c r="X695" s="350"/>
      <c r="Y695" s="350"/>
      <c r="Z695" s="350"/>
      <c r="AA695" s="350"/>
      <c r="AB695" s="351"/>
      <c r="AC695" s="351"/>
      <c r="AD695" s="350"/>
      <c r="AE695" s="350"/>
      <c r="AF695" s="352"/>
      <c r="AG695" s="350"/>
      <c r="AH695" s="350"/>
      <c r="AI695" s="350"/>
      <c r="AJ695" s="350"/>
      <c r="AK695" s="346"/>
    </row>
    <row r="696" spans="1:37" ht="30" customHeight="1" x14ac:dyDescent="0.2">
      <c r="A696" s="16"/>
      <c r="B696" s="93">
        <v>21</v>
      </c>
      <c r="C696" s="11" t="s">
        <v>818</v>
      </c>
      <c r="D696" s="12"/>
      <c r="E696" s="12"/>
      <c r="F696" s="12"/>
      <c r="G696" s="12"/>
      <c r="H696" s="13"/>
      <c r="I696" s="12"/>
      <c r="J696" s="12"/>
      <c r="K696" s="94"/>
      <c r="L696" s="94"/>
      <c r="M696" s="579"/>
      <c r="N696" s="13"/>
      <c r="O696" s="12"/>
      <c r="P696" s="12"/>
      <c r="Q696" s="357"/>
      <c r="R696" s="357"/>
      <c r="S696" s="357"/>
      <c r="T696" s="357"/>
      <c r="U696" s="357"/>
      <c r="V696" s="357"/>
      <c r="W696" s="357"/>
      <c r="X696" s="357"/>
      <c r="Y696" s="357"/>
      <c r="Z696" s="357"/>
      <c r="AA696" s="357"/>
      <c r="AB696" s="357"/>
      <c r="AC696" s="357"/>
      <c r="AD696" s="357"/>
      <c r="AE696" s="357"/>
      <c r="AF696" s="358"/>
      <c r="AG696" s="357"/>
      <c r="AH696" s="357"/>
      <c r="AI696" s="357"/>
      <c r="AJ696" s="357"/>
      <c r="AK696" s="445"/>
    </row>
    <row r="697" spans="1:37" ht="30" customHeight="1" x14ac:dyDescent="0.2">
      <c r="A697" s="16"/>
      <c r="B697" s="796"/>
      <c r="C697" s="648"/>
      <c r="D697" s="642"/>
      <c r="E697" s="648"/>
      <c r="F697" s="648"/>
      <c r="G697" s="181">
        <v>72</v>
      </c>
      <c r="H697" s="52" t="s">
        <v>819</v>
      </c>
      <c r="I697" s="52"/>
      <c r="J697" s="52"/>
      <c r="K697" s="96"/>
      <c r="L697" s="96"/>
      <c r="M697" s="581"/>
      <c r="N697" s="136"/>
      <c r="O697" s="52"/>
      <c r="P697" s="52"/>
      <c r="Q697" s="231"/>
      <c r="R697" s="231"/>
      <c r="S697" s="231"/>
      <c r="T697" s="231"/>
      <c r="U697" s="231"/>
      <c r="V697" s="231"/>
      <c r="W697" s="231"/>
      <c r="X697" s="231"/>
      <c r="Y697" s="231"/>
      <c r="Z697" s="231"/>
      <c r="AA697" s="231"/>
      <c r="AB697" s="231"/>
      <c r="AC697" s="231"/>
      <c r="AD697" s="231"/>
      <c r="AE697" s="231"/>
      <c r="AF697" s="359"/>
      <c r="AG697" s="231"/>
      <c r="AH697" s="231"/>
      <c r="AI697" s="231"/>
      <c r="AJ697" s="231"/>
      <c r="AK697" s="444"/>
    </row>
    <row r="698" spans="1:37" ht="50.25" customHeight="1" x14ac:dyDescent="0.2">
      <c r="A698" s="16"/>
      <c r="B698" s="796"/>
      <c r="C698" s="732">
        <v>36</v>
      </c>
      <c r="D698" s="735" t="s">
        <v>800</v>
      </c>
      <c r="E698" s="795">
        <v>0.4</v>
      </c>
      <c r="F698" s="752">
        <v>0.6</v>
      </c>
      <c r="G698" s="731" t="s">
        <v>403</v>
      </c>
      <c r="H698" s="673">
        <v>209</v>
      </c>
      <c r="I698" s="665" t="s">
        <v>820</v>
      </c>
      <c r="J698" s="18">
        <v>1</v>
      </c>
      <c r="K698" s="19">
        <v>1</v>
      </c>
      <c r="L698" s="743">
        <v>201700360040</v>
      </c>
      <c r="M698" s="21" t="s">
        <v>802</v>
      </c>
      <c r="N698" s="786" t="s">
        <v>821</v>
      </c>
      <c r="O698" s="734" t="s">
        <v>822</v>
      </c>
      <c r="P698" s="18" t="s">
        <v>41</v>
      </c>
      <c r="Q698" s="346">
        <v>0</v>
      </c>
      <c r="R698" s="346">
        <v>0</v>
      </c>
      <c r="S698" s="346">
        <v>0</v>
      </c>
      <c r="T698" s="346">
        <v>0</v>
      </c>
      <c r="U698" s="346">
        <v>0</v>
      </c>
      <c r="V698" s="346">
        <v>0</v>
      </c>
      <c r="W698" s="346">
        <v>0</v>
      </c>
      <c r="X698" s="346"/>
      <c r="Y698" s="346"/>
      <c r="Z698" s="346">
        <v>0</v>
      </c>
      <c r="AA698" s="346">
        <v>0</v>
      </c>
      <c r="AB698" s="346"/>
      <c r="AC698" s="346"/>
      <c r="AD698" s="346">
        <v>0</v>
      </c>
      <c r="AE698" s="346"/>
      <c r="AF698" s="347">
        <v>30000000</v>
      </c>
      <c r="AG698" s="397">
        <v>29100000</v>
      </c>
      <c r="AH698" s="346">
        <v>0</v>
      </c>
      <c r="AI698" s="348"/>
      <c r="AJ698" s="575">
        <f>30772358-30772358</f>
        <v>0</v>
      </c>
      <c r="AK698" s="346">
        <f>Q698+R698+S698+T698+U698+V698+W698+X698+Y698+Z698+AA698+AB698+AC698+AD698+AE698+AF698+AG698+AH698+AI698+AJ698</f>
        <v>59100000</v>
      </c>
    </row>
    <row r="699" spans="1:37" ht="50.25" customHeight="1" x14ac:dyDescent="0.2">
      <c r="A699" s="16"/>
      <c r="B699" s="796"/>
      <c r="C699" s="732"/>
      <c r="D699" s="735"/>
      <c r="E699" s="795"/>
      <c r="F699" s="752"/>
      <c r="G699" s="732"/>
      <c r="H699" s="648">
        <v>210</v>
      </c>
      <c r="I699" s="642" t="s">
        <v>823</v>
      </c>
      <c r="J699" s="648">
        <v>1</v>
      </c>
      <c r="K699" s="652">
        <v>1</v>
      </c>
      <c r="L699" s="744"/>
      <c r="M699" s="658" t="s">
        <v>802</v>
      </c>
      <c r="N699" s="784"/>
      <c r="O699" s="735"/>
      <c r="P699" s="639" t="s">
        <v>41</v>
      </c>
      <c r="Q699" s="382">
        <v>0</v>
      </c>
      <c r="R699" s="382">
        <v>0</v>
      </c>
      <c r="S699" s="382">
        <v>0</v>
      </c>
      <c r="T699" s="382">
        <v>0</v>
      </c>
      <c r="U699" s="382">
        <v>0</v>
      </c>
      <c r="V699" s="382">
        <v>0</v>
      </c>
      <c r="W699" s="382">
        <v>0</v>
      </c>
      <c r="X699" s="382"/>
      <c r="Y699" s="382"/>
      <c r="Z699" s="382">
        <v>0</v>
      </c>
      <c r="AA699" s="382">
        <v>0</v>
      </c>
      <c r="AB699" s="382"/>
      <c r="AC699" s="382"/>
      <c r="AD699" s="382">
        <v>0</v>
      </c>
      <c r="AE699" s="382"/>
      <c r="AF699" s="703">
        <f>9000000+31618664</f>
        <v>40618664</v>
      </c>
      <c r="AG699" s="704">
        <v>25000000</v>
      </c>
      <c r="AH699" s="382">
        <v>0</v>
      </c>
      <c r="AI699" s="409"/>
      <c r="AJ699" s="705">
        <f>16000000-16000000</f>
        <v>0</v>
      </c>
      <c r="AK699" s="382">
        <f>Q699+R699+S699+T699+U699+V699+W699+X699+Y699+Z699+AA699+AB699+AC699+AD699+AE699+AF699+AG699+AH699+AI699+AJ699</f>
        <v>65618664</v>
      </c>
    </row>
    <row r="700" spans="1:37" s="574" customFormat="1" ht="50.25" customHeight="1" x14ac:dyDescent="0.2">
      <c r="A700" s="686"/>
      <c r="B700" s="796"/>
      <c r="C700" s="732"/>
      <c r="D700" s="735"/>
      <c r="E700" s="795"/>
      <c r="F700" s="752"/>
      <c r="G700" s="732"/>
      <c r="H700" s="673">
        <v>211</v>
      </c>
      <c r="I700" s="665" t="s">
        <v>824</v>
      </c>
      <c r="J700" s="18">
        <v>1</v>
      </c>
      <c r="K700" s="19">
        <v>1</v>
      </c>
      <c r="L700" s="745"/>
      <c r="M700" s="682" t="s">
        <v>802</v>
      </c>
      <c r="N700" s="785"/>
      <c r="O700" s="736"/>
      <c r="P700" s="611" t="s">
        <v>41</v>
      </c>
      <c r="Q700" s="346">
        <v>0</v>
      </c>
      <c r="R700" s="346">
        <v>0</v>
      </c>
      <c r="S700" s="346">
        <v>0</v>
      </c>
      <c r="T700" s="346">
        <v>0</v>
      </c>
      <c r="U700" s="346">
        <v>0</v>
      </c>
      <c r="V700" s="346">
        <v>0</v>
      </c>
      <c r="W700" s="346">
        <v>0</v>
      </c>
      <c r="X700" s="346">
        <v>0</v>
      </c>
      <c r="Y700" s="346">
        <v>0</v>
      </c>
      <c r="Z700" s="346">
        <v>0</v>
      </c>
      <c r="AA700" s="346">
        <v>0</v>
      </c>
      <c r="AB700" s="346">
        <v>0</v>
      </c>
      <c r="AC700" s="346">
        <v>0</v>
      </c>
      <c r="AD700" s="346">
        <v>0</v>
      </c>
      <c r="AE700" s="346">
        <v>0</v>
      </c>
      <c r="AF700" s="547">
        <v>29461261</v>
      </c>
      <c r="AG700" s="397">
        <v>22000000</v>
      </c>
      <c r="AH700" s="346">
        <v>0</v>
      </c>
      <c r="AI700" s="346"/>
      <c r="AJ700" s="575">
        <f>16000000-16000000</f>
        <v>0</v>
      </c>
      <c r="AK700" s="346">
        <f>Q700+R700+S700+T700+U700+V700+W700+X700+Y700+Z700+AA700+AB700+AC700+AD700+AE700+AF700+AG700+AH700+AI700+AJ700</f>
        <v>51461261</v>
      </c>
    </row>
    <row r="701" spans="1:37" ht="30" customHeight="1" x14ac:dyDescent="0.2">
      <c r="A701" s="16"/>
      <c r="B701" s="796"/>
      <c r="C701" s="649"/>
      <c r="D701" s="644"/>
      <c r="E701" s="649"/>
      <c r="F701" s="649"/>
      <c r="G701" s="706"/>
      <c r="H701" s="707"/>
      <c r="I701" s="706"/>
      <c r="J701" s="708"/>
      <c r="K701" s="709"/>
      <c r="L701" s="709"/>
      <c r="M701" s="710"/>
      <c r="N701" s="708"/>
      <c r="O701" s="710"/>
      <c r="P701" s="708"/>
      <c r="Q701" s="711">
        <f t="shared" ref="Q701:AK701" si="166">SUM(Q698:Q700)</f>
        <v>0</v>
      </c>
      <c r="R701" s="711">
        <f t="shared" si="166"/>
        <v>0</v>
      </c>
      <c r="S701" s="711">
        <f t="shared" si="166"/>
        <v>0</v>
      </c>
      <c r="T701" s="711">
        <f t="shared" si="166"/>
        <v>0</v>
      </c>
      <c r="U701" s="711">
        <f t="shared" si="166"/>
        <v>0</v>
      </c>
      <c r="V701" s="711">
        <f t="shared" si="166"/>
        <v>0</v>
      </c>
      <c r="W701" s="711">
        <f t="shared" si="166"/>
        <v>0</v>
      </c>
      <c r="X701" s="711">
        <f t="shared" si="166"/>
        <v>0</v>
      </c>
      <c r="Y701" s="711">
        <f t="shared" si="166"/>
        <v>0</v>
      </c>
      <c r="Z701" s="711">
        <f t="shared" si="166"/>
        <v>0</v>
      </c>
      <c r="AA701" s="711">
        <f t="shared" si="166"/>
        <v>0</v>
      </c>
      <c r="AB701" s="711">
        <f t="shared" si="166"/>
        <v>0</v>
      </c>
      <c r="AC701" s="711">
        <f t="shared" si="166"/>
        <v>0</v>
      </c>
      <c r="AD701" s="711">
        <f t="shared" si="166"/>
        <v>0</v>
      </c>
      <c r="AE701" s="711">
        <f t="shared" si="166"/>
        <v>0</v>
      </c>
      <c r="AF701" s="711">
        <f t="shared" si="166"/>
        <v>100079925</v>
      </c>
      <c r="AG701" s="711">
        <f t="shared" si="166"/>
        <v>76100000</v>
      </c>
      <c r="AH701" s="711">
        <f t="shared" si="166"/>
        <v>0</v>
      </c>
      <c r="AI701" s="711">
        <f t="shared" si="166"/>
        <v>0</v>
      </c>
      <c r="AJ701" s="711">
        <f t="shared" si="166"/>
        <v>0</v>
      </c>
      <c r="AK701" s="711">
        <f t="shared" si="166"/>
        <v>176179925</v>
      </c>
    </row>
    <row r="702" spans="1:37" ht="30" customHeight="1" x14ac:dyDescent="0.2">
      <c r="A702" s="16"/>
      <c r="B702" s="796"/>
      <c r="C702" s="116"/>
      <c r="D702" s="44"/>
      <c r="E702" s="116"/>
      <c r="F702" s="116"/>
      <c r="G702" s="44"/>
      <c r="H702" s="116"/>
      <c r="I702" s="44"/>
      <c r="J702" s="116"/>
      <c r="K702" s="117"/>
      <c r="L702" s="229"/>
      <c r="M702" s="74"/>
      <c r="N702" s="345"/>
      <c r="O702" s="74"/>
      <c r="P702" s="116"/>
      <c r="Q702" s="350"/>
      <c r="R702" s="350"/>
      <c r="S702" s="350"/>
      <c r="T702" s="350"/>
      <c r="U702" s="350"/>
      <c r="V702" s="350"/>
      <c r="W702" s="350"/>
      <c r="X702" s="350"/>
      <c r="Y702" s="350"/>
      <c r="Z702" s="350"/>
      <c r="AA702" s="350"/>
      <c r="AB702" s="351"/>
      <c r="AC702" s="351"/>
      <c r="AD702" s="350"/>
      <c r="AE702" s="350"/>
      <c r="AF702" s="352"/>
      <c r="AG702" s="353"/>
      <c r="AH702" s="350"/>
      <c r="AI702" s="350"/>
      <c r="AJ702" s="351"/>
      <c r="AK702" s="346"/>
    </row>
    <row r="703" spans="1:37" ht="30" customHeight="1" x14ac:dyDescent="0.2">
      <c r="A703" s="16"/>
      <c r="B703" s="796"/>
      <c r="C703" s="648"/>
      <c r="D703" s="642"/>
      <c r="E703" s="648"/>
      <c r="F703" s="648"/>
      <c r="G703" s="181">
        <v>73</v>
      </c>
      <c r="H703" s="52" t="s">
        <v>825</v>
      </c>
      <c r="I703" s="52"/>
      <c r="J703" s="52"/>
      <c r="K703" s="96"/>
      <c r="L703" s="96"/>
      <c r="M703" s="581"/>
      <c r="N703" s="136"/>
      <c r="O703" s="52"/>
      <c r="P703" s="52"/>
      <c r="Q703" s="231"/>
      <c r="R703" s="231"/>
      <c r="S703" s="231"/>
      <c r="T703" s="231"/>
      <c r="U703" s="231"/>
      <c r="V703" s="231"/>
      <c r="W703" s="231"/>
      <c r="X703" s="231"/>
      <c r="Y703" s="231"/>
      <c r="Z703" s="231"/>
      <c r="AA703" s="231"/>
      <c r="AB703" s="231"/>
      <c r="AC703" s="231"/>
      <c r="AD703" s="231"/>
      <c r="AE703" s="231"/>
      <c r="AF703" s="359"/>
      <c r="AG703" s="231"/>
      <c r="AH703" s="231"/>
      <c r="AI703" s="231"/>
      <c r="AJ703" s="231"/>
      <c r="AK703" s="444"/>
    </row>
    <row r="704" spans="1:37" ht="75" customHeight="1" x14ac:dyDescent="0.2">
      <c r="A704" s="16"/>
      <c r="B704" s="796"/>
      <c r="C704" s="638">
        <v>36</v>
      </c>
      <c r="D704" s="643" t="s">
        <v>800</v>
      </c>
      <c r="E704" s="646">
        <v>0.4</v>
      </c>
      <c r="F704" s="647">
        <v>0.6</v>
      </c>
      <c r="G704" s="642"/>
      <c r="H704" s="648">
        <v>212</v>
      </c>
      <c r="I704" s="642" t="s">
        <v>826</v>
      </c>
      <c r="J704" s="639">
        <v>1</v>
      </c>
      <c r="K704" s="24">
        <v>1</v>
      </c>
      <c r="L704" s="20">
        <v>201700360041</v>
      </c>
      <c r="M704" s="21" t="s">
        <v>802</v>
      </c>
      <c r="N704" s="639" t="s">
        <v>827</v>
      </c>
      <c r="O704" s="21" t="s">
        <v>828</v>
      </c>
      <c r="P704" s="18" t="s">
        <v>41</v>
      </c>
      <c r="Q704" s="382">
        <v>0</v>
      </c>
      <c r="R704" s="382">
        <v>0</v>
      </c>
      <c r="S704" s="382">
        <v>0</v>
      </c>
      <c r="T704" s="382">
        <v>0</v>
      </c>
      <c r="U704" s="382">
        <v>0</v>
      </c>
      <c r="V704" s="382">
        <v>0</v>
      </c>
      <c r="W704" s="382">
        <v>0</v>
      </c>
      <c r="X704" s="382">
        <v>0</v>
      </c>
      <c r="Y704" s="382">
        <v>0</v>
      </c>
      <c r="Z704" s="382">
        <v>0</v>
      </c>
      <c r="AA704" s="382">
        <v>0</v>
      </c>
      <c r="AB704" s="382">
        <v>0</v>
      </c>
      <c r="AC704" s="382">
        <v>0</v>
      </c>
      <c r="AD704" s="382">
        <v>0</v>
      </c>
      <c r="AE704" s="382">
        <v>0</v>
      </c>
      <c r="AF704" s="347">
        <v>30000000</v>
      </c>
      <c r="AG704" s="576">
        <f>40000000+13500000</f>
        <v>53500000</v>
      </c>
      <c r="AH704" s="382">
        <v>0</v>
      </c>
      <c r="AI704" s="409"/>
      <c r="AJ704" s="575">
        <f>79747962-79747962</f>
        <v>0</v>
      </c>
      <c r="AK704" s="346">
        <f>Q704+R704+S704+T704+U704+V704+W704+X704+Y704+Z704+AA704+AB704+AC704+AD704+AE704+AF704+AG704+AH704+AI704+AJ704</f>
        <v>83500000</v>
      </c>
    </row>
    <row r="705" spans="1:37" s="557" customFormat="1" ht="30" customHeight="1" x14ac:dyDescent="0.25">
      <c r="A705" s="16"/>
      <c r="B705" s="796"/>
      <c r="C705" s="649"/>
      <c r="D705" s="644"/>
      <c r="E705" s="649"/>
      <c r="F705" s="649"/>
      <c r="G705" s="66"/>
      <c r="H705" s="67"/>
      <c r="I705" s="66"/>
      <c r="J705" s="304"/>
      <c r="K705" s="305"/>
      <c r="L705" s="305"/>
      <c r="M705" s="306"/>
      <c r="N705" s="304"/>
      <c r="O705" s="306"/>
      <c r="P705" s="304"/>
      <c r="Q705" s="393">
        <f>SUM(Q704)</f>
        <v>0</v>
      </c>
      <c r="R705" s="393">
        <f t="shared" ref="R705:AK705" si="167">SUM(R704)</f>
        <v>0</v>
      </c>
      <c r="S705" s="393">
        <f t="shared" si="167"/>
        <v>0</v>
      </c>
      <c r="T705" s="393">
        <f t="shared" si="167"/>
        <v>0</v>
      </c>
      <c r="U705" s="393">
        <f t="shared" si="167"/>
        <v>0</v>
      </c>
      <c r="V705" s="393">
        <f t="shared" si="167"/>
        <v>0</v>
      </c>
      <c r="W705" s="393">
        <f t="shared" si="167"/>
        <v>0</v>
      </c>
      <c r="X705" s="393">
        <f t="shared" si="167"/>
        <v>0</v>
      </c>
      <c r="Y705" s="393">
        <f t="shared" si="167"/>
        <v>0</v>
      </c>
      <c r="Z705" s="393">
        <f t="shared" si="167"/>
        <v>0</v>
      </c>
      <c r="AA705" s="393">
        <f t="shared" si="167"/>
        <v>0</v>
      </c>
      <c r="AB705" s="393">
        <f t="shared" si="167"/>
        <v>0</v>
      </c>
      <c r="AC705" s="393">
        <f t="shared" si="167"/>
        <v>0</v>
      </c>
      <c r="AD705" s="393">
        <f t="shared" si="167"/>
        <v>0</v>
      </c>
      <c r="AE705" s="393">
        <f t="shared" si="167"/>
        <v>0</v>
      </c>
      <c r="AF705" s="393">
        <f t="shared" si="167"/>
        <v>30000000</v>
      </c>
      <c r="AG705" s="393">
        <f t="shared" si="167"/>
        <v>53500000</v>
      </c>
      <c r="AH705" s="393">
        <f t="shared" si="167"/>
        <v>0</v>
      </c>
      <c r="AI705" s="393">
        <f t="shared" si="167"/>
        <v>0</v>
      </c>
      <c r="AJ705" s="393">
        <f t="shared" si="167"/>
        <v>0</v>
      </c>
      <c r="AK705" s="393">
        <f t="shared" si="167"/>
        <v>83500000</v>
      </c>
    </row>
    <row r="706" spans="1:37" ht="30" customHeight="1" x14ac:dyDescent="0.2">
      <c r="A706" s="16"/>
      <c r="B706" s="222"/>
      <c r="C706" s="72"/>
      <c r="D706" s="71"/>
      <c r="E706" s="72"/>
      <c r="F706" s="72"/>
      <c r="G706" s="71"/>
      <c r="H706" s="72"/>
      <c r="I706" s="71"/>
      <c r="J706" s="307"/>
      <c r="K706" s="308"/>
      <c r="L706" s="308"/>
      <c r="M706" s="309"/>
      <c r="N706" s="307"/>
      <c r="O706" s="309"/>
      <c r="P706" s="307"/>
      <c r="Q706" s="411">
        <f>Q705+Q701</f>
        <v>0</v>
      </c>
      <c r="R706" s="411">
        <f t="shared" ref="R706:AK706" si="168">R705+R701</f>
        <v>0</v>
      </c>
      <c r="S706" s="411">
        <f t="shared" si="168"/>
        <v>0</v>
      </c>
      <c r="T706" s="411">
        <f t="shared" si="168"/>
        <v>0</v>
      </c>
      <c r="U706" s="411">
        <f t="shared" si="168"/>
        <v>0</v>
      </c>
      <c r="V706" s="411">
        <f t="shared" si="168"/>
        <v>0</v>
      </c>
      <c r="W706" s="411">
        <f t="shared" si="168"/>
        <v>0</v>
      </c>
      <c r="X706" s="411">
        <f t="shared" si="168"/>
        <v>0</v>
      </c>
      <c r="Y706" s="411">
        <f t="shared" si="168"/>
        <v>0</v>
      </c>
      <c r="Z706" s="411">
        <f t="shared" si="168"/>
        <v>0</v>
      </c>
      <c r="AA706" s="411">
        <f t="shared" si="168"/>
        <v>0</v>
      </c>
      <c r="AB706" s="411">
        <f t="shared" si="168"/>
        <v>0</v>
      </c>
      <c r="AC706" s="411">
        <f t="shared" si="168"/>
        <v>0</v>
      </c>
      <c r="AD706" s="411">
        <f t="shared" si="168"/>
        <v>0</v>
      </c>
      <c r="AE706" s="411">
        <f t="shared" si="168"/>
        <v>0</v>
      </c>
      <c r="AF706" s="411">
        <f t="shared" si="168"/>
        <v>130079925</v>
      </c>
      <c r="AG706" s="411">
        <f t="shared" si="168"/>
        <v>129600000</v>
      </c>
      <c r="AH706" s="411">
        <f t="shared" si="168"/>
        <v>0</v>
      </c>
      <c r="AI706" s="411">
        <f t="shared" si="168"/>
        <v>0</v>
      </c>
      <c r="AJ706" s="411">
        <f t="shared" si="168"/>
        <v>0</v>
      </c>
      <c r="AK706" s="411">
        <f t="shared" si="168"/>
        <v>259679925</v>
      </c>
    </row>
    <row r="707" spans="1:37" ht="30" customHeight="1" x14ac:dyDescent="0.2">
      <c r="A707" s="16"/>
      <c r="B707" s="44"/>
      <c r="C707" s="116"/>
      <c r="D707" s="44"/>
      <c r="E707" s="116"/>
      <c r="F707" s="116"/>
      <c r="G707" s="44"/>
      <c r="H707" s="116"/>
      <c r="I707" s="44"/>
      <c r="J707" s="116"/>
      <c r="K707" s="117"/>
      <c r="L707" s="229"/>
      <c r="M707" s="74"/>
      <c r="N707" s="345"/>
      <c r="O707" s="74"/>
      <c r="P707" s="116"/>
      <c r="Q707" s="350"/>
      <c r="R707" s="350"/>
      <c r="S707" s="350"/>
      <c r="T707" s="350"/>
      <c r="U707" s="350"/>
      <c r="V707" s="350"/>
      <c r="W707" s="350"/>
      <c r="X707" s="350"/>
      <c r="Y707" s="350"/>
      <c r="Z707" s="350"/>
      <c r="AA707" s="350"/>
      <c r="AB707" s="351"/>
      <c r="AC707" s="351"/>
      <c r="AD707" s="350"/>
      <c r="AE707" s="350"/>
      <c r="AF707" s="352"/>
      <c r="AG707" s="350"/>
      <c r="AH707" s="350"/>
      <c r="AI707" s="350"/>
      <c r="AJ707" s="350"/>
      <c r="AK707" s="346"/>
    </row>
    <row r="708" spans="1:37" ht="30" customHeight="1" x14ac:dyDescent="0.2">
      <c r="A708" s="16"/>
      <c r="B708" s="310">
        <v>22</v>
      </c>
      <c r="C708" s="11" t="s">
        <v>829</v>
      </c>
      <c r="D708" s="12"/>
      <c r="E708" s="12"/>
      <c r="F708" s="12"/>
      <c r="G708" s="12"/>
      <c r="H708" s="13"/>
      <c r="I708" s="12"/>
      <c r="J708" s="12"/>
      <c r="K708" s="94"/>
      <c r="L708" s="94"/>
      <c r="M708" s="579"/>
      <c r="N708" s="13"/>
      <c r="O708" s="12"/>
      <c r="P708" s="12"/>
      <c r="Q708" s="357"/>
      <c r="R708" s="357"/>
      <c r="S708" s="357"/>
      <c r="T708" s="357"/>
      <c r="U708" s="357"/>
      <c r="V708" s="357"/>
      <c r="W708" s="357"/>
      <c r="X708" s="357"/>
      <c r="Y708" s="357"/>
      <c r="Z708" s="357"/>
      <c r="AA708" s="357"/>
      <c r="AB708" s="357"/>
      <c r="AC708" s="357"/>
      <c r="AD708" s="357"/>
      <c r="AE708" s="357"/>
      <c r="AF708" s="358"/>
      <c r="AG708" s="357"/>
      <c r="AH708" s="357"/>
      <c r="AI708" s="357"/>
      <c r="AJ708" s="357"/>
      <c r="AK708" s="445"/>
    </row>
    <row r="709" spans="1:37" ht="30" customHeight="1" x14ac:dyDescent="0.2">
      <c r="A709" s="16"/>
      <c r="B709" s="796"/>
      <c r="C709" s="648"/>
      <c r="D709" s="642"/>
      <c r="E709" s="648"/>
      <c r="F709" s="648"/>
      <c r="G709" s="181">
        <v>74</v>
      </c>
      <c r="H709" s="52" t="s">
        <v>830</v>
      </c>
      <c r="I709" s="52"/>
      <c r="J709" s="52"/>
      <c r="K709" s="96"/>
      <c r="L709" s="96"/>
      <c r="M709" s="581"/>
      <c r="N709" s="136"/>
      <c r="O709" s="52"/>
      <c r="P709" s="52"/>
      <c r="Q709" s="231"/>
      <c r="R709" s="231"/>
      <c r="S709" s="231"/>
      <c r="T709" s="231"/>
      <c r="U709" s="231"/>
      <c r="V709" s="231"/>
      <c r="W709" s="231"/>
      <c r="X709" s="231"/>
      <c r="Y709" s="231"/>
      <c r="Z709" s="231"/>
      <c r="AA709" s="231"/>
      <c r="AB709" s="231"/>
      <c r="AC709" s="231"/>
      <c r="AD709" s="231"/>
      <c r="AE709" s="231"/>
      <c r="AF709" s="359"/>
      <c r="AG709" s="231"/>
      <c r="AH709" s="231"/>
      <c r="AI709" s="231"/>
      <c r="AJ709" s="231"/>
      <c r="AK709" s="444"/>
    </row>
    <row r="710" spans="1:37" ht="57" customHeight="1" x14ac:dyDescent="0.2">
      <c r="A710" s="16"/>
      <c r="B710" s="796"/>
      <c r="C710" s="638">
        <v>36</v>
      </c>
      <c r="D710" s="643" t="s">
        <v>800</v>
      </c>
      <c r="E710" s="646">
        <v>0.4</v>
      </c>
      <c r="F710" s="647">
        <v>0.6</v>
      </c>
      <c r="G710" s="665"/>
      <c r="H710" s="673">
        <v>213</v>
      </c>
      <c r="I710" s="665" t="s">
        <v>831</v>
      </c>
      <c r="J710" s="18">
        <v>12</v>
      </c>
      <c r="K710" s="19">
        <v>12</v>
      </c>
      <c r="L710" s="20">
        <v>201700360042</v>
      </c>
      <c r="M710" s="21" t="s">
        <v>802</v>
      </c>
      <c r="N710" s="639" t="s">
        <v>832</v>
      </c>
      <c r="O710" s="665" t="s">
        <v>833</v>
      </c>
      <c r="P710" s="18" t="s">
        <v>41</v>
      </c>
      <c r="Q710" s="346"/>
      <c r="R710" s="346"/>
      <c r="S710" s="346"/>
      <c r="T710" s="346"/>
      <c r="U710" s="346"/>
      <c r="V710" s="346"/>
      <c r="W710" s="346"/>
      <c r="X710" s="346"/>
      <c r="Y710" s="346"/>
      <c r="Z710" s="346"/>
      <c r="AA710" s="346"/>
      <c r="AB710" s="346"/>
      <c r="AC710" s="346"/>
      <c r="AD710" s="346"/>
      <c r="AE710" s="346"/>
      <c r="AF710" s="347"/>
      <c r="AG710" s="360"/>
      <c r="AH710" s="547">
        <f>244500000-244500000</f>
        <v>0</v>
      </c>
      <c r="AI710" s="348"/>
      <c r="AJ710" s="348"/>
      <c r="AK710" s="346">
        <f>Q710+R710+S710+T710+U710+V710+W710+X710+Y710+Z710+AA710+AB710+AC710+AD710+AE710+AF710+AG710+AH710+AI710+AJ710</f>
        <v>0</v>
      </c>
    </row>
    <row r="711" spans="1:37" ht="30" customHeight="1" x14ac:dyDescent="0.2">
      <c r="A711" s="16"/>
      <c r="B711" s="796"/>
      <c r="C711" s="649"/>
      <c r="D711" s="644"/>
      <c r="E711" s="649"/>
      <c r="F711" s="649"/>
      <c r="G711" s="30"/>
      <c r="H711" s="31"/>
      <c r="I711" s="30"/>
      <c r="J711" s="32"/>
      <c r="K711" s="82"/>
      <c r="L711" s="82"/>
      <c r="M711" s="151"/>
      <c r="N711" s="32"/>
      <c r="O711" s="151"/>
      <c r="P711" s="32"/>
      <c r="Q711" s="355">
        <f>SUM(Q710)</f>
        <v>0</v>
      </c>
      <c r="R711" s="355">
        <f t="shared" ref="R711:AK711" si="169">SUM(R710)</f>
        <v>0</v>
      </c>
      <c r="S711" s="355">
        <f t="shared" si="169"/>
        <v>0</v>
      </c>
      <c r="T711" s="355">
        <f t="shared" si="169"/>
        <v>0</v>
      </c>
      <c r="U711" s="355">
        <f t="shared" si="169"/>
        <v>0</v>
      </c>
      <c r="V711" s="355">
        <f t="shared" si="169"/>
        <v>0</v>
      </c>
      <c r="W711" s="355">
        <f t="shared" si="169"/>
        <v>0</v>
      </c>
      <c r="X711" s="355">
        <f t="shared" si="169"/>
        <v>0</v>
      </c>
      <c r="Y711" s="355">
        <f t="shared" si="169"/>
        <v>0</v>
      </c>
      <c r="Z711" s="355">
        <f t="shared" si="169"/>
        <v>0</v>
      </c>
      <c r="AA711" s="355">
        <f t="shared" si="169"/>
        <v>0</v>
      </c>
      <c r="AB711" s="355">
        <f t="shared" si="169"/>
        <v>0</v>
      </c>
      <c r="AC711" s="355">
        <f t="shared" si="169"/>
        <v>0</v>
      </c>
      <c r="AD711" s="355">
        <f t="shared" si="169"/>
        <v>0</v>
      </c>
      <c r="AE711" s="355">
        <f t="shared" si="169"/>
        <v>0</v>
      </c>
      <c r="AF711" s="355">
        <f t="shared" si="169"/>
        <v>0</v>
      </c>
      <c r="AG711" s="355">
        <f t="shared" si="169"/>
        <v>0</v>
      </c>
      <c r="AH711" s="355">
        <f t="shared" si="169"/>
        <v>0</v>
      </c>
      <c r="AI711" s="355">
        <f t="shared" si="169"/>
        <v>0</v>
      </c>
      <c r="AJ711" s="355">
        <f t="shared" si="169"/>
        <v>0</v>
      </c>
      <c r="AK711" s="355">
        <f t="shared" si="169"/>
        <v>0</v>
      </c>
    </row>
    <row r="712" spans="1:37" ht="30" customHeight="1" x14ac:dyDescent="0.2">
      <c r="A712" s="29"/>
      <c r="B712" s="68"/>
      <c r="C712" s="35"/>
      <c r="D712" s="34"/>
      <c r="E712" s="35"/>
      <c r="F712" s="35"/>
      <c r="G712" s="34"/>
      <c r="H712" s="35"/>
      <c r="I712" s="34"/>
      <c r="J712" s="36"/>
      <c r="K712" s="84"/>
      <c r="L712" s="84"/>
      <c r="M712" s="303"/>
      <c r="N712" s="36"/>
      <c r="O712" s="303"/>
      <c r="P712" s="36"/>
      <c r="Q712" s="361">
        <f>Q711</f>
        <v>0</v>
      </c>
      <c r="R712" s="361">
        <f t="shared" ref="R712:AK712" si="170">R711</f>
        <v>0</v>
      </c>
      <c r="S712" s="361">
        <f t="shared" si="170"/>
        <v>0</v>
      </c>
      <c r="T712" s="361">
        <f t="shared" si="170"/>
        <v>0</v>
      </c>
      <c r="U712" s="361">
        <f t="shared" si="170"/>
        <v>0</v>
      </c>
      <c r="V712" s="361">
        <f t="shared" si="170"/>
        <v>0</v>
      </c>
      <c r="W712" s="361">
        <f t="shared" si="170"/>
        <v>0</v>
      </c>
      <c r="X712" s="361">
        <f t="shared" si="170"/>
        <v>0</v>
      </c>
      <c r="Y712" s="361">
        <f t="shared" si="170"/>
        <v>0</v>
      </c>
      <c r="Z712" s="361">
        <f t="shared" si="170"/>
        <v>0</v>
      </c>
      <c r="AA712" s="361">
        <f t="shared" si="170"/>
        <v>0</v>
      </c>
      <c r="AB712" s="361">
        <f t="shared" si="170"/>
        <v>0</v>
      </c>
      <c r="AC712" s="361">
        <f t="shared" si="170"/>
        <v>0</v>
      </c>
      <c r="AD712" s="361">
        <f t="shared" si="170"/>
        <v>0</v>
      </c>
      <c r="AE712" s="361">
        <f t="shared" si="170"/>
        <v>0</v>
      </c>
      <c r="AF712" s="361">
        <f t="shared" si="170"/>
        <v>0</v>
      </c>
      <c r="AG712" s="361">
        <f t="shared" si="170"/>
        <v>0</v>
      </c>
      <c r="AH712" s="361">
        <f t="shared" si="170"/>
        <v>0</v>
      </c>
      <c r="AI712" s="361">
        <f t="shared" si="170"/>
        <v>0</v>
      </c>
      <c r="AJ712" s="361">
        <f t="shared" si="170"/>
        <v>0</v>
      </c>
      <c r="AK712" s="361">
        <f t="shared" si="170"/>
        <v>0</v>
      </c>
    </row>
    <row r="713" spans="1:37" ht="30" customHeight="1" x14ac:dyDescent="0.2">
      <c r="A713" s="37"/>
      <c r="B713" s="37"/>
      <c r="C713" s="38"/>
      <c r="D713" s="37"/>
      <c r="E713" s="38"/>
      <c r="F713" s="38"/>
      <c r="G713" s="37"/>
      <c r="H713" s="38"/>
      <c r="I713" s="37"/>
      <c r="J713" s="39"/>
      <c r="K713" s="85"/>
      <c r="L713" s="85"/>
      <c r="M713" s="311"/>
      <c r="N713" s="39"/>
      <c r="O713" s="311"/>
      <c r="P713" s="39"/>
      <c r="Q713" s="367">
        <f>Q712+Q706+Q694</f>
        <v>0</v>
      </c>
      <c r="R713" s="367">
        <f t="shared" ref="R713:AK713" si="171">R712+R706+R694</f>
        <v>0</v>
      </c>
      <c r="S713" s="367">
        <f t="shared" si="171"/>
        <v>0</v>
      </c>
      <c r="T713" s="367">
        <f t="shared" si="171"/>
        <v>0</v>
      </c>
      <c r="U713" s="367">
        <f t="shared" si="171"/>
        <v>0</v>
      </c>
      <c r="V713" s="367">
        <f t="shared" si="171"/>
        <v>0</v>
      </c>
      <c r="W713" s="367">
        <f t="shared" si="171"/>
        <v>0</v>
      </c>
      <c r="X713" s="367">
        <f t="shared" si="171"/>
        <v>0</v>
      </c>
      <c r="Y713" s="367">
        <f t="shared" si="171"/>
        <v>0</v>
      </c>
      <c r="Z713" s="367">
        <f t="shared" si="171"/>
        <v>0</v>
      </c>
      <c r="AA713" s="367">
        <f t="shared" si="171"/>
        <v>0</v>
      </c>
      <c r="AB713" s="367">
        <f t="shared" si="171"/>
        <v>0</v>
      </c>
      <c r="AC713" s="367">
        <f t="shared" si="171"/>
        <v>0</v>
      </c>
      <c r="AD713" s="367">
        <f t="shared" si="171"/>
        <v>0</v>
      </c>
      <c r="AE713" s="367">
        <f t="shared" si="171"/>
        <v>0</v>
      </c>
      <c r="AF713" s="367">
        <f t="shared" si="171"/>
        <v>839854602</v>
      </c>
      <c r="AG713" s="367">
        <f t="shared" si="171"/>
        <v>2066846094.49</v>
      </c>
      <c r="AH713" s="367">
        <f t="shared" si="171"/>
        <v>32228160</v>
      </c>
      <c r="AI713" s="367">
        <f t="shared" si="171"/>
        <v>0</v>
      </c>
      <c r="AJ713" s="367">
        <f t="shared" si="171"/>
        <v>109227642</v>
      </c>
      <c r="AK713" s="367">
        <f t="shared" si="171"/>
        <v>3048156498.4899998</v>
      </c>
    </row>
    <row r="714" spans="1:37" s="557" customFormat="1" ht="30" customHeight="1" x14ac:dyDescent="0.25">
      <c r="A714" s="40"/>
      <c r="B714" s="40"/>
      <c r="C714" s="41"/>
      <c r="D714" s="40"/>
      <c r="E714" s="41"/>
      <c r="F714" s="41"/>
      <c r="G714" s="40"/>
      <c r="H714" s="41"/>
      <c r="I714" s="40"/>
      <c r="J714" s="42"/>
      <c r="K714" s="86"/>
      <c r="L714" s="86"/>
      <c r="M714" s="285"/>
      <c r="N714" s="42"/>
      <c r="O714" s="285"/>
      <c r="P714" s="42"/>
      <c r="Q714" s="368">
        <f>Q713</f>
        <v>0</v>
      </c>
      <c r="R714" s="368">
        <f t="shared" ref="R714:AK714" si="172">R713</f>
        <v>0</v>
      </c>
      <c r="S714" s="368">
        <f t="shared" si="172"/>
        <v>0</v>
      </c>
      <c r="T714" s="368">
        <f t="shared" si="172"/>
        <v>0</v>
      </c>
      <c r="U714" s="368">
        <f t="shared" si="172"/>
        <v>0</v>
      </c>
      <c r="V714" s="368">
        <f t="shared" si="172"/>
        <v>0</v>
      </c>
      <c r="W714" s="368">
        <f t="shared" si="172"/>
        <v>0</v>
      </c>
      <c r="X714" s="368">
        <f t="shared" si="172"/>
        <v>0</v>
      </c>
      <c r="Y714" s="368">
        <f t="shared" si="172"/>
        <v>0</v>
      </c>
      <c r="Z714" s="368">
        <f t="shared" si="172"/>
        <v>0</v>
      </c>
      <c r="AA714" s="368">
        <f t="shared" si="172"/>
        <v>0</v>
      </c>
      <c r="AB714" s="368">
        <f t="shared" si="172"/>
        <v>0</v>
      </c>
      <c r="AC714" s="368">
        <f t="shared" si="172"/>
        <v>0</v>
      </c>
      <c r="AD714" s="368">
        <f t="shared" si="172"/>
        <v>0</v>
      </c>
      <c r="AE714" s="368">
        <f t="shared" si="172"/>
        <v>0</v>
      </c>
      <c r="AF714" s="368">
        <f t="shared" si="172"/>
        <v>839854602</v>
      </c>
      <c r="AG714" s="368">
        <f t="shared" si="172"/>
        <v>2066846094.49</v>
      </c>
      <c r="AH714" s="368">
        <f t="shared" si="172"/>
        <v>32228160</v>
      </c>
      <c r="AI714" s="368">
        <f t="shared" si="172"/>
        <v>0</v>
      </c>
      <c r="AJ714" s="368">
        <f t="shared" si="172"/>
        <v>109227642</v>
      </c>
      <c r="AK714" s="368">
        <f t="shared" si="172"/>
        <v>3048156498.4899998</v>
      </c>
    </row>
    <row r="715" spans="1:37" s="557" customFormat="1" ht="30" customHeight="1" x14ac:dyDescent="0.25">
      <c r="A715" s="43"/>
      <c r="B715" s="44"/>
      <c r="C715" s="116"/>
      <c r="D715" s="44"/>
      <c r="E715" s="116"/>
      <c r="F715" s="116"/>
      <c r="G715" s="44"/>
      <c r="H715" s="116"/>
      <c r="I715" s="44"/>
      <c r="J715" s="45"/>
      <c r="K715" s="225"/>
      <c r="L715" s="225"/>
      <c r="M715" s="62"/>
      <c r="N715" s="45"/>
      <c r="O715" s="62"/>
      <c r="P715" s="45"/>
      <c r="Q715" s="350"/>
      <c r="R715" s="351"/>
      <c r="S715" s="350"/>
      <c r="T715" s="350"/>
      <c r="U715" s="350"/>
      <c r="V715" s="350"/>
      <c r="W715" s="350"/>
      <c r="X715" s="350"/>
      <c r="Y715" s="350"/>
      <c r="Z715" s="350"/>
      <c r="AA715" s="350"/>
      <c r="AB715" s="350"/>
      <c r="AC715" s="350"/>
      <c r="AD715" s="350"/>
      <c r="AE715" s="350"/>
      <c r="AF715" s="350"/>
      <c r="AG715" s="350"/>
      <c r="AH715" s="350"/>
      <c r="AI715" s="350"/>
      <c r="AJ715" s="351"/>
      <c r="AK715" s="350"/>
    </row>
    <row r="716" spans="1:37" ht="30" customHeight="1" x14ac:dyDescent="0.2">
      <c r="A716" s="312" t="s">
        <v>834</v>
      </c>
      <c r="B716" s="312"/>
      <c r="C716" s="313"/>
      <c r="D716" s="312"/>
      <c r="E716" s="312"/>
      <c r="F716" s="312"/>
      <c r="G716" s="314"/>
      <c r="H716" s="315"/>
      <c r="I716" s="314"/>
      <c r="J716" s="314"/>
      <c r="K716" s="316"/>
      <c r="L716" s="316"/>
      <c r="M716" s="607"/>
      <c r="N716" s="315"/>
      <c r="O716" s="314"/>
      <c r="P716" s="315"/>
      <c r="Q716" s="448"/>
      <c r="R716" s="448"/>
      <c r="S716" s="448"/>
      <c r="T716" s="448"/>
      <c r="U716" s="448"/>
      <c r="V716" s="448"/>
      <c r="W716" s="448"/>
      <c r="X716" s="448"/>
      <c r="Y716" s="448"/>
      <c r="Z716" s="448"/>
      <c r="AA716" s="448"/>
      <c r="AB716" s="448"/>
      <c r="AC716" s="448"/>
      <c r="AD716" s="448"/>
      <c r="AE716" s="448"/>
      <c r="AF716" s="449"/>
      <c r="AG716" s="450"/>
      <c r="AH716" s="448"/>
      <c r="AI716" s="448"/>
      <c r="AJ716" s="448"/>
      <c r="AK716" s="451"/>
    </row>
    <row r="717" spans="1:37" ht="30" customHeight="1" x14ac:dyDescent="0.2">
      <c r="A717" s="645">
        <v>2</v>
      </c>
      <c r="B717" s="797" t="s">
        <v>106</v>
      </c>
      <c r="C717" s="797"/>
      <c r="D717" s="797"/>
      <c r="E717" s="797"/>
      <c r="F717" s="202"/>
      <c r="G717" s="317"/>
      <c r="H717" s="318"/>
      <c r="I717" s="317"/>
      <c r="J717" s="317"/>
      <c r="K717" s="319"/>
      <c r="L717" s="319"/>
      <c r="M717" s="149"/>
      <c r="N717" s="318"/>
      <c r="O717" s="317"/>
      <c r="P717" s="317"/>
      <c r="Q717" s="452"/>
      <c r="R717" s="452"/>
      <c r="S717" s="452"/>
      <c r="T717" s="452"/>
      <c r="U717" s="452"/>
      <c r="V717" s="452"/>
      <c r="W717" s="452"/>
      <c r="X717" s="452"/>
      <c r="Y717" s="452"/>
      <c r="Z717" s="452"/>
      <c r="AA717" s="452"/>
      <c r="AB717" s="452"/>
      <c r="AC717" s="452"/>
      <c r="AD717" s="452"/>
      <c r="AE717" s="452"/>
      <c r="AF717" s="453"/>
      <c r="AG717" s="452"/>
      <c r="AH717" s="452"/>
      <c r="AI717" s="452"/>
      <c r="AJ717" s="452"/>
      <c r="AK717" s="406"/>
    </row>
    <row r="718" spans="1:37" ht="30" customHeight="1" x14ac:dyDescent="0.2">
      <c r="A718" s="333"/>
      <c r="B718" s="118">
        <v>4</v>
      </c>
      <c r="C718" s="798" t="s">
        <v>107</v>
      </c>
      <c r="D718" s="798"/>
      <c r="E718" s="798"/>
      <c r="F718" s="798"/>
      <c r="G718" s="320"/>
      <c r="H718" s="321"/>
      <c r="I718" s="320"/>
      <c r="J718" s="320"/>
      <c r="K718" s="322"/>
      <c r="L718" s="322"/>
      <c r="M718" s="93"/>
      <c r="N718" s="321"/>
      <c r="O718" s="320"/>
      <c r="P718" s="320"/>
      <c r="Q718" s="454"/>
      <c r="R718" s="454"/>
      <c r="S718" s="454"/>
      <c r="T718" s="454"/>
      <c r="U718" s="454"/>
      <c r="V718" s="454"/>
      <c r="W718" s="454"/>
      <c r="X718" s="454"/>
      <c r="Y718" s="454"/>
      <c r="Z718" s="454"/>
      <c r="AA718" s="454"/>
      <c r="AB718" s="454"/>
      <c r="AC718" s="454"/>
      <c r="AD718" s="454"/>
      <c r="AE718" s="454"/>
      <c r="AF718" s="455"/>
      <c r="AG718" s="454"/>
      <c r="AH718" s="454"/>
      <c r="AI718" s="454"/>
      <c r="AJ718" s="454"/>
      <c r="AK718" s="456"/>
    </row>
    <row r="719" spans="1:37" ht="30" customHeight="1" x14ac:dyDescent="0.2">
      <c r="A719" s="16"/>
      <c r="B719" s="48"/>
      <c r="C719" s="3"/>
      <c r="D719" s="48"/>
      <c r="E719" s="48"/>
      <c r="F719" s="48"/>
      <c r="G719" s="181">
        <v>14</v>
      </c>
      <c r="H719" s="136" t="s">
        <v>108</v>
      </c>
      <c r="I719" s="52"/>
      <c r="J719" s="52"/>
      <c r="K719" s="96"/>
      <c r="L719" s="96"/>
      <c r="M719" s="581"/>
      <c r="N719" s="136"/>
      <c r="O719" s="52"/>
      <c r="P719" s="52"/>
      <c r="Q719" s="231"/>
      <c r="R719" s="231"/>
      <c r="S719" s="231"/>
      <c r="T719" s="231"/>
      <c r="U719" s="231"/>
      <c r="V719" s="231"/>
      <c r="W719" s="231"/>
      <c r="X719" s="231"/>
      <c r="Y719" s="231"/>
      <c r="Z719" s="231"/>
      <c r="AA719" s="231"/>
      <c r="AB719" s="231"/>
      <c r="AC719" s="231"/>
      <c r="AD719" s="231"/>
      <c r="AE719" s="231"/>
      <c r="AF719" s="359"/>
      <c r="AG719" s="231"/>
      <c r="AH719" s="231"/>
      <c r="AI719" s="231"/>
      <c r="AJ719" s="231"/>
      <c r="AK719" s="233"/>
    </row>
    <row r="720" spans="1:37" ht="67.5" customHeight="1" x14ac:dyDescent="0.2">
      <c r="A720" s="16"/>
      <c r="B720" s="16"/>
      <c r="C720" s="638">
        <v>7</v>
      </c>
      <c r="D720" s="643" t="s">
        <v>835</v>
      </c>
      <c r="E720" s="651">
        <v>0.317</v>
      </c>
      <c r="F720" s="647">
        <v>0.27</v>
      </c>
      <c r="G720" s="25"/>
      <c r="H720" s="102">
        <v>54</v>
      </c>
      <c r="I720" s="665" t="s">
        <v>110</v>
      </c>
      <c r="J720" s="673">
        <v>129.85</v>
      </c>
      <c r="K720" s="80">
        <v>130</v>
      </c>
      <c r="L720" s="20">
        <v>2017003630058</v>
      </c>
      <c r="M720" s="665" t="s">
        <v>836</v>
      </c>
      <c r="N720" s="639" t="s">
        <v>837</v>
      </c>
      <c r="O720" s="323" t="s">
        <v>838</v>
      </c>
      <c r="P720" s="673" t="s">
        <v>41</v>
      </c>
      <c r="Q720" s="346"/>
      <c r="R720" s="346"/>
      <c r="S720" s="346"/>
      <c r="T720" s="346"/>
      <c r="U720" s="346"/>
      <c r="V720" s="349"/>
      <c r="W720" s="346"/>
      <c r="X720" s="346"/>
      <c r="Y720" s="346"/>
      <c r="Z720" s="346"/>
      <c r="AA720" s="346"/>
      <c r="AB720" s="346"/>
      <c r="AC720" s="346"/>
      <c r="AD720" s="346"/>
      <c r="AE720" s="346"/>
      <c r="AF720" s="347">
        <v>0</v>
      </c>
      <c r="AG720" s="360"/>
      <c r="AH720" s="324">
        <v>240000000</v>
      </c>
      <c r="AI720" s="325"/>
      <c r="AJ720" s="348"/>
      <c r="AK720" s="346">
        <f>Q720+R720+S720+T720+U720+V720+W720+X720+Y720+Z720+AA720+AB720+AC720+AD720+AE720+AF720+AG720+AH720+AI720+AJ720</f>
        <v>240000000</v>
      </c>
    </row>
    <row r="721" spans="1:37" ht="30" customHeight="1" x14ac:dyDescent="0.2">
      <c r="A721" s="23"/>
      <c r="B721" s="23"/>
      <c r="C721" s="638"/>
      <c r="D721" s="23"/>
      <c r="E721" s="23"/>
      <c r="F721" s="23"/>
      <c r="G721" s="712">
        <v>15</v>
      </c>
      <c r="H721" s="713" t="s">
        <v>115</v>
      </c>
      <c r="I721" s="714"/>
      <c r="J721" s="714"/>
      <c r="K721" s="715"/>
      <c r="L721" s="715"/>
      <c r="M721" s="716"/>
      <c r="N721" s="337"/>
      <c r="O721" s="714"/>
      <c r="P721" s="714"/>
      <c r="Q721" s="514">
        <f>SUM(Q720)</f>
        <v>0</v>
      </c>
      <c r="R721" s="514">
        <f t="shared" ref="R721:AK721" si="173">SUM(R720)</f>
        <v>0</v>
      </c>
      <c r="S721" s="514">
        <f t="shared" si="173"/>
        <v>0</v>
      </c>
      <c r="T721" s="514">
        <f t="shared" si="173"/>
        <v>0</v>
      </c>
      <c r="U721" s="514">
        <f t="shared" si="173"/>
        <v>0</v>
      </c>
      <c r="V721" s="514">
        <f t="shared" si="173"/>
        <v>0</v>
      </c>
      <c r="W721" s="514">
        <f t="shared" si="173"/>
        <v>0</v>
      </c>
      <c r="X721" s="514">
        <f t="shared" si="173"/>
        <v>0</v>
      </c>
      <c r="Y721" s="514">
        <f t="shared" si="173"/>
        <v>0</v>
      </c>
      <c r="Z721" s="514">
        <f t="shared" si="173"/>
        <v>0</v>
      </c>
      <c r="AA721" s="514">
        <f t="shared" si="173"/>
        <v>0</v>
      </c>
      <c r="AB721" s="514">
        <f t="shared" si="173"/>
        <v>0</v>
      </c>
      <c r="AC721" s="514">
        <f t="shared" si="173"/>
        <v>0</v>
      </c>
      <c r="AD721" s="514">
        <f t="shared" si="173"/>
        <v>0</v>
      </c>
      <c r="AE721" s="514">
        <f t="shared" si="173"/>
        <v>0</v>
      </c>
      <c r="AF721" s="514">
        <f t="shared" si="173"/>
        <v>0</v>
      </c>
      <c r="AG721" s="514">
        <f t="shared" si="173"/>
        <v>0</v>
      </c>
      <c r="AH721" s="514">
        <f t="shared" si="173"/>
        <v>240000000</v>
      </c>
      <c r="AI721" s="514">
        <f t="shared" si="173"/>
        <v>0</v>
      </c>
      <c r="AJ721" s="514">
        <f t="shared" si="173"/>
        <v>0</v>
      </c>
      <c r="AK721" s="514">
        <f t="shared" si="173"/>
        <v>240000000</v>
      </c>
    </row>
    <row r="722" spans="1:37" ht="30" customHeight="1" x14ac:dyDescent="0.2">
      <c r="A722" s="16"/>
      <c r="B722" s="167"/>
      <c r="C722" s="105"/>
      <c r="D722" s="106"/>
      <c r="E722" s="106"/>
      <c r="F722" s="106"/>
      <c r="G722" s="213"/>
      <c r="H722" s="15"/>
      <c r="I722" s="15"/>
      <c r="J722" s="15"/>
      <c r="K722" s="480"/>
      <c r="L722" s="480"/>
      <c r="M722" s="177"/>
      <c r="N722" s="178"/>
      <c r="O722" s="15"/>
      <c r="P722" s="15"/>
      <c r="Q722" s="481"/>
      <c r="R722" s="481"/>
      <c r="S722" s="481"/>
      <c r="T722" s="481"/>
      <c r="U722" s="481"/>
      <c r="V722" s="481"/>
      <c r="W722" s="481"/>
      <c r="X722" s="481"/>
      <c r="Y722" s="481"/>
      <c r="Z722" s="481"/>
      <c r="AA722" s="481"/>
      <c r="AB722" s="481"/>
      <c r="AC722" s="481"/>
      <c r="AD722" s="481"/>
      <c r="AE722" s="481"/>
      <c r="AF722" s="482"/>
      <c r="AG722" s="482"/>
      <c r="AH722" s="352"/>
      <c r="AI722" s="482"/>
      <c r="AJ722" s="482"/>
      <c r="AK722" s="481"/>
    </row>
    <row r="723" spans="1:37" ht="66.75" customHeight="1" x14ac:dyDescent="0.2">
      <c r="A723" s="16"/>
      <c r="B723" s="16"/>
      <c r="C723" s="649">
        <v>7</v>
      </c>
      <c r="D723" s="644" t="s">
        <v>835</v>
      </c>
      <c r="E723" s="249">
        <v>0.317</v>
      </c>
      <c r="F723" s="650">
        <v>0.27</v>
      </c>
      <c r="G723" s="25"/>
      <c r="H723" s="649">
        <v>59</v>
      </c>
      <c r="I723" s="644" t="s">
        <v>123</v>
      </c>
      <c r="J723" s="649">
        <v>82</v>
      </c>
      <c r="K723" s="653">
        <v>12</v>
      </c>
      <c r="L723" s="728">
        <v>2017003630058</v>
      </c>
      <c r="M723" s="660" t="s">
        <v>122</v>
      </c>
      <c r="N723" s="804" t="s">
        <v>837</v>
      </c>
      <c r="O723" s="806" t="s">
        <v>838</v>
      </c>
      <c r="P723" s="649" t="s">
        <v>54</v>
      </c>
      <c r="Q723" s="371">
        <v>0</v>
      </c>
      <c r="R723" s="371">
        <v>0</v>
      </c>
      <c r="S723" s="622">
        <f>550000000+17250000+632750000</f>
        <v>1200000000</v>
      </c>
      <c r="T723" s="371">
        <v>0</v>
      </c>
      <c r="U723" s="371">
        <v>0</v>
      </c>
      <c r="V723" s="371">
        <v>0</v>
      </c>
      <c r="W723" s="371">
        <v>0</v>
      </c>
      <c r="X723" s="371"/>
      <c r="Y723" s="371"/>
      <c r="Z723" s="371">
        <v>0</v>
      </c>
      <c r="AA723" s="371">
        <v>0</v>
      </c>
      <c r="AB723" s="371"/>
      <c r="AC723" s="371"/>
      <c r="AD723" s="371">
        <v>0</v>
      </c>
      <c r="AE723" s="371">
        <v>0</v>
      </c>
      <c r="AF723" s="395">
        <v>0</v>
      </c>
      <c r="AG723" s="394"/>
      <c r="AH723" s="495">
        <v>0</v>
      </c>
      <c r="AI723" s="496">
        <v>0</v>
      </c>
      <c r="AJ723" s="398">
        <v>0</v>
      </c>
      <c r="AK723" s="346">
        <f>Q723+R723+S723+T723+U723+V723+W723+X723+Y723+Z723+AA723+AB723+AC723+AD723+AE723+AF723+AG723+AH723+AI723+AJ723</f>
        <v>1200000000</v>
      </c>
    </row>
    <row r="724" spans="1:37" ht="65.25" customHeight="1" x14ac:dyDescent="0.2">
      <c r="A724" s="16"/>
      <c r="B724" s="16"/>
      <c r="C724" s="673">
        <v>7</v>
      </c>
      <c r="D724" s="665" t="s">
        <v>835</v>
      </c>
      <c r="E724" s="227">
        <v>0.317</v>
      </c>
      <c r="F724" s="220">
        <v>0.27</v>
      </c>
      <c r="G724" s="25"/>
      <c r="H724" s="673">
        <v>57</v>
      </c>
      <c r="I724" s="665" t="s">
        <v>117</v>
      </c>
      <c r="J724" s="673">
        <v>103</v>
      </c>
      <c r="K724" s="80">
        <v>12</v>
      </c>
      <c r="L724" s="728"/>
      <c r="M724" s="21" t="s">
        <v>118</v>
      </c>
      <c r="N724" s="804"/>
      <c r="O724" s="806"/>
      <c r="P724" s="673" t="s">
        <v>54</v>
      </c>
      <c r="Q724" s="346"/>
      <c r="R724" s="346"/>
      <c r="S724" s="565">
        <f>550000000-250000000</f>
        <v>300000000</v>
      </c>
      <c r="T724" s="346"/>
      <c r="U724" s="346"/>
      <c r="V724" s="346"/>
      <c r="W724" s="346"/>
      <c r="X724" s="346"/>
      <c r="Y724" s="346"/>
      <c r="Z724" s="346"/>
      <c r="AA724" s="346"/>
      <c r="AB724" s="346"/>
      <c r="AC724" s="346"/>
      <c r="AD724" s="346"/>
      <c r="AE724" s="346"/>
      <c r="AF724" s="347"/>
      <c r="AG724" s="360"/>
      <c r="AH724" s="348">
        <v>0</v>
      </c>
      <c r="AI724" s="348"/>
      <c r="AJ724" s="373"/>
      <c r="AK724" s="346">
        <f>Q724+R724+S724+T724+U724+V724+W724+X724+Y724+Z724+AA724+AB724+AC724+AD724+AE724+AF724+AG724+AH724+AI724+AJ724</f>
        <v>300000000</v>
      </c>
    </row>
    <row r="725" spans="1:37" ht="64.5" customHeight="1" x14ac:dyDescent="0.2">
      <c r="A725" s="16"/>
      <c r="B725" s="16"/>
      <c r="C725" s="673">
        <v>7</v>
      </c>
      <c r="D725" s="665" t="s">
        <v>835</v>
      </c>
      <c r="E725" s="227">
        <v>0.317</v>
      </c>
      <c r="F725" s="220">
        <v>0.27</v>
      </c>
      <c r="G725" s="25"/>
      <c r="H725" s="673">
        <v>60</v>
      </c>
      <c r="I725" s="665" t="s">
        <v>124</v>
      </c>
      <c r="J725" s="673">
        <v>9</v>
      </c>
      <c r="K725" s="80">
        <v>12</v>
      </c>
      <c r="L725" s="728"/>
      <c r="M725" s="21" t="s">
        <v>122</v>
      </c>
      <c r="N725" s="804"/>
      <c r="O725" s="806"/>
      <c r="P725" s="673" t="s">
        <v>54</v>
      </c>
      <c r="Q725" s="346">
        <v>0</v>
      </c>
      <c r="R725" s="346">
        <v>0</v>
      </c>
      <c r="S725" s="565">
        <v>0</v>
      </c>
      <c r="T725" s="346">
        <v>0</v>
      </c>
      <c r="U725" s="346">
        <v>0</v>
      </c>
      <c r="V725" s="346">
        <v>0</v>
      </c>
      <c r="W725" s="346">
        <v>0</v>
      </c>
      <c r="X725" s="346"/>
      <c r="Y725" s="346"/>
      <c r="Z725" s="346">
        <v>0</v>
      </c>
      <c r="AA725" s="346">
        <v>0</v>
      </c>
      <c r="AB725" s="346"/>
      <c r="AC725" s="346"/>
      <c r="AD725" s="346">
        <v>0</v>
      </c>
      <c r="AE725" s="346">
        <v>0</v>
      </c>
      <c r="AF725" s="347"/>
      <c r="AG725" s="360"/>
      <c r="AH725" s="420">
        <f>388000000+49642368</f>
        <v>437642368</v>
      </c>
      <c r="AI725" s="423"/>
      <c r="AJ725" s="348">
        <v>0</v>
      </c>
      <c r="AK725" s="346">
        <f>Q725+R725+S725+T725+U725+V725+W725+X725+Y725+Z725+AA725+AB725+AC725+AD725+AE725+AF725+AG725+AH725+AI725+AJ725</f>
        <v>437642368</v>
      </c>
    </row>
    <row r="726" spans="1:37" ht="63.75" customHeight="1" thickBot="1" x14ac:dyDescent="0.25">
      <c r="A726" s="16"/>
      <c r="B726" s="16"/>
      <c r="C726" s="648">
        <v>7</v>
      </c>
      <c r="D726" s="642" t="s">
        <v>835</v>
      </c>
      <c r="E726" s="668">
        <v>0.317</v>
      </c>
      <c r="F726" s="667">
        <v>0.27</v>
      </c>
      <c r="G726" s="25"/>
      <c r="H726" s="673">
        <v>63</v>
      </c>
      <c r="I726" s="665" t="s">
        <v>127</v>
      </c>
      <c r="J726" s="673" t="s">
        <v>32</v>
      </c>
      <c r="K726" s="80">
        <v>250</v>
      </c>
      <c r="L726" s="803"/>
      <c r="M726" s="21" t="s">
        <v>128</v>
      </c>
      <c r="N726" s="805"/>
      <c r="O726" s="807"/>
      <c r="P726" s="673" t="s">
        <v>54</v>
      </c>
      <c r="Q726" s="346"/>
      <c r="R726" s="346"/>
      <c r="S726" s="616">
        <f>550000000-382750000-15000000</f>
        <v>152250000</v>
      </c>
      <c r="T726" s="346"/>
      <c r="U726" s="346"/>
      <c r="V726" s="346"/>
      <c r="W726" s="346"/>
      <c r="X726" s="346"/>
      <c r="Y726" s="346"/>
      <c r="Z726" s="346"/>
      <c r="AA726" s="346"/>
      <c r="AB726" s="346"/>
      <c r="AC726" s="346"/>
      <c r="AD726" s="346"/>
      <c r="AE726" s="346"/>
      <c r="AF726" s="457"/>
      <c r="AG726" s="458"/>
      <c r="AH726" s="420">
        <v>140000000</v>
      </c>
      <c r="AI726" s="423"/>
      <c r="AJ726" s="348"/>
      <c r="AK726" s="346">
        <f>Q726+R726+S726+T726+U726+V726+W726+X726+Y726+Z726+AA726+AB726+AC726+AD726+AE726+AF726+AG726+AH726+AI726+AJ726</f>
        <v>292250000</v>
      </c>
    </row>
    <row r="727" spans="1:37" ht="30" customHeight="1" x14ac:dyDescent="0.2">
      <c r="A727" s="334"/>
      <c r="B727" s="29"/>
      <c r="C727" s="649"/>
      <c r="D727" s="644"/>
      <c r="E727" s="649"/>
      <c r="F727" s="649"/>
      <c r="G727" s="239"/>
      <c r="H727" s="31"/>
      <c r="I727" s="30"/>
      <c r="J727" s="31"/>
      <c r="K727" s="104"/>
      <c r="L727" s="104"/>
      <c r="M727" s="250"/>
      <c r="N727" s="31"/>
      <c r="O727" s="30"/>
      <c r="P727" s="31"/>
      <c r="Q727" s="355">
        <f>SUM(Q723:Q726)</f>
        <v>0</v>
      </c>
      <c r="R727" s="355">
        <f t="shared" ref="R727:AK727" si="174">SUM(R723:R726)</f>
        <v>0</v>
      </c>
      <c r="S727" s="355">
        <f t="shared" si="174"/>
        <v>1652250000</v>
      </c>
      <c r="T727" s="355">
        <f t="shared" si="174"/>
        <v>0</v>
      </c>
      <c r="U727" s="355">
        <f t="shared" si="174"/>
        <v>0</v>
      </c>
      <c r="V727" s="355">
        <f t="shared" si="174"/>
        <v>0</v>
      </c>
      <c r="W727" s="355">
        <f t="shared" si="174"/>
        <v>0</v>
      </c>
      <c r="X727" s="355">
        <f t="shared" si="174"/>
        <v>0</v>
      </c>
      <c r="Y727" s="355">
        <f t="shared" si="174"/>
        <v>0</v>
      </c>
      <c r="Z727" s="355">
        <f t="shared" si="174"/>
        <v>0</v>
      </c>
      <c r="AA727" s="355">
        <f t="shared" si="174"/>
        <v>0</v>
      </c>
      <c r="AB727" s="355">
        <f t="shared" si="174"/>
        <v>0</v>
      </c>
      <c r="AC727" s="355">
        <f t="shared" si="174"/>
        <v>0</v>
      </c>
      <c r="AD727" s="355">
        <f t="shared" si="174"/>
        <v>0</v>
      </c>
      <c r="AE727" s="355">
        <f t="shared" si="174"/>
        <v>0</v>
      </c>
      <c r="AF727" s="355">
        <f t="shared" si="174"/>
        <v>0</v>
      </c>
      <c r="AG727" s="355">
        <f t="shared" si="174"/>
        <v>0</v>
      </c>
      <c r="AH727" s="355">
        <f t="shared" si="174"/>
        <v>577642368</v>
      </c>
      <c r="AI727" s="355">
        <f t="shared" si="174"/>
        <v>0</v>
      </c>
      <c r="AJ727" s="355">
        <f t="shared" si="174"/>
        <v>0</v>
      </c>
      <c r="AK727" s="355">
        <f t="shared" si="174"/>
        <v>2229892368</v>
      </c>
    </row>
    <row r="728" spans="1:37" ht="30" customHeight="1" x14ac:dyDescent="0.2">
      <c r="A728" s="335"/>
      <c r="B728" s="34"/>
      <c r="C728" s="35"/>
      <c r="D728" s="34"/>
      <c r="E728" s="35"/>
      <c r="F728" s="35"/>
      <c r="G728" s="68"/>
      <c r="H728" s="35"/>
      <c r="I728" s="34"/>
      <c r="J728" s="35"/>
      <c r="K728" s="113"/>
      <c r="L728" s="113"/>
      <c r="M728" s="34"/>
      <c r="N728" s="35"/>
      <c r="O728" s="34"/>
      <c r="P728" s="35"/>
      <c r="Q728" s="361">
        <f t="shared" ref="Q728:AJ728" si="175">Q727+Q721</f>
        <v>0</v>
      </c>
      <c r="R728" s="361">
        <f t="shared" si="175"/>
        <v>0</v>
      </c>
      <c r="S728" s="361">
        <f t="shared" si="175"/>
        <v>1652250000</v>
      </c>
      <c r="T728" s="361">
        <f t="shared" si="175"/>
        <v>0</v>
      </c>
      <c r="U728" s="361">
        <f t="shared" si="175"/>
        <v>0</v>
      </c>
      <c r="V728" s="361">
        <f t="shared" si="175"/>
        <v>0</v>
      </c>
      <c r="W728" s="361">
        <f t="shared" si="175"/>
        <v>0</v>
      </c>
      <c r="X728" s="361">
        <f t="shared" si="175"/>
        <v>0</v>
      </c>
      <c r="Y728" s="361">
        <f t="shared" si="175"/>
        <v>0</v>
      </c>
      <c r="Z728" s="361">
        <f t="shared" si="175"/>
        <v>0</v>
      </c>
      <c r="AA728" s="361">
        <f t="shared" si="175"/>
        <v>0</v>
      </c>
      <c r="AB728" s="361">
        <f t="shared" si="175"/>
        <v>0</v>
      </c>
      <c r="AC728" s="361">
        <f t="shared" si="175"/>
        <v>0</v>
      </c>
      <c r="AD728" s="361">
        <f t="shared" si="175"/>
        <v>0</v>
      </c>
      <c r="AE728" s="361">
        <f t="shared" si="175"/>
        <v>0</v>
      </c>
      <c r="AF728" s="361">
        <f t="shared" si="175"/>
        <v>0</v>
      </c>
      <c r="AG728" s="361">
        <f t="shared" si="175"/>
        <v>0</v>
      </c>
      <c r="AH728" s="361">
        <f t="shared" si="175"/>
        <v>817642368</v>
      </c>
      <c r="AI728" s="361">
        <f t="shared" si="175"/>
        <v>0</v>
      </c>
      <c r="AJ728" s="361">
        <f t="shared" si="175"/>
        <v>0</v>
      </c>
      <c r="AK728" s="361">
        <f>AK727+AK721</f>
        <v>2469892368</v>
      </c>
    </row>
    <row r="729" spans="1:37" ht="30" customHeight="1" x14ac:dyDescent="0.2">
      <c r="A729" s="37"/>
      <c r="B729" s="37"/>
      <c r="C729" s="38"/>
      <c r="D729" s="37"/>
      <c r="E729" s="38"/>
      <c r="F729" s="38"/>
      <c r="G729" s="114"/>
      <c r="H729" s="38"/>
      <c r="I729" s="37"/>
      <c r="J729" s="38"/>
      <c r="K729" s="115"/>
      <c r="L729" s="115"/>
      <c r="M729" s="37"/>
      <c r="N729" s="38"/>
      <c r="O729" s="37"/>
      <c r="P729" s="38"/>
      <c r="Q729" s="367">
        <f>Q728</f>
        <v>0</v>
      </c>
      <c r="R729" s="367">
        <f t="shared" ref="R729:AK730" si="176">R728</f>
        <v>0</v>
      </c>
      <c r="S729" s="367">
        <f t="shared" si="176"/>
        <v>1652250000</v>
      </c>
      <c r="T729" s="367">
        <f t="shared" si="176"/>
        <v>0</v>
      </c>
      <c r="U729" s="367">
        <f t="shared" si="176"/>
        <v>0</v>
      </c>
      <c r="V729" s="367">
        <f t="shared" si="176"/>
        <v>0</v>
      </c>
      <c r="W729" s="367">
        <f t="shared" si="176"/>
        <v>0</v>
      </c>
      <c r="X729" s="367">
        <f t="shared" si="176"/>
        <v>0</v>
      </c>
      <c r="Y729" s="367">
        <f t="shared" si="176"/>
        <v>0</v>
      </c>
      <c r="Z729" s="367">
        <f t="shared" si="176"/>
        <v>0</v>
      </c>
      <c r="AA729" s="367">
        <f t="shared" si="176"/>
        <v>0</v>
      </c>
      <c r="AB729" s="367">
        <f t="shared" si="176"/>
        <v>0</v>
      </c>
      <c r="AC729" s="367">
        <f t="shared" si="176"/>
        <v>0</v>
      </c>
      <c r="AD729" s="367">
        <f t="shared" si="176"/>
        <v>0</v>
      </c>
      <c r="AE729" s="367">
        <f t="shared" si="176"/>
        <v>0</v>
      </c>
      <c r="AF729" s="367">
        <f t="shared" si="176"/>
        <v>0</v>
      </c>
      <c r="AG729" s="367">
        <f t="shared" si="176"/>
        <v>0</v>
      </c>
      <c r="AH729" s="367">
        <f t="shared" si="176"/>
        <v>817642368</v>
      </c>
      <c r="AI729" s="367">
        <f t="shared" si="176"/>
        <v>0</v>
      </c>
      <c r="AJ729" s="367">
        <f t="shared" si="176"/>
        <v>0</v>
      </c>
      <c r="AK729" s="367">
        <f t="shared" si="176"/>
        <v>2469892368</v>
      </c>
    </row>
    <row r="730" spans="1:37" ht="30" customHeight="1" x14ac:dyDescent="0.2">
      <c r="A730" s="483"/>
      <c r="B730" s="483"/>
      <c r="C730" s="484"/>
      <c r="D730" s="483"/>
      <c r="E730" s="484"/>
      <c r="F730" s="484"/>
      <c r="G730" s="485"/>
      <c r="H730" s="484"/>
      <c r="I730" s="483"/>
      <c r="J730" s="484"/>
      <c r="K730" s="486"/>
      <c r="L730" s="486"/>
      <c r="M730" s="483"/>
      <c r="N730" s="484"/>
      <c r="O730" s="483"/>
      <c r="P730" s="484"/>
      <c r="Q730" s="487">
        <f>Q729</f>
        <v>0</v>
      </c>
      <c r="R730" s="487">
        <f t="shared" si="176"/>
        <v>0</v>
      </c>
      <c r="S730" s="487">
        <f t="shared" si="176"/>
        <v>1652250000</v>
      </c>
      <c r="T730" s="487">
        <f t="shared" si="176"/>
        <v>0</v>
      </c>
      <c r="U730" s="487">
        <f t="shared" si="176"/>
        <v>0</v>
      </c>
      <c r="V730" s="487">
        <f t="shared" si="176"/>
        <v>0</v>
      </c>
      <c r="W730" s="487">
        <f t="shared" si="176"/>
        <v>0</v>
      </c>
      <c r="X730" s="487">
        <f t="shared" si="176"/>
        <v>0</v>
      </c>
      <c r="Y730" s="487">
        <f t="shared" si="176"/>
        <v>0</v>
      </c>
      <c r="Z730" s="487">
        <f t="shared" si="176"/>
        <v>0</v>
      </c>
      <c r="AA730" s="487">
        <f t="shared" si="176"/>
        <v>0</v>
      </c>
      <c r="AB730" s="487">
        <f t="shared" si="176"/>
        <v>0</v>
      </c>
      <c r="AC730" s="487">
        <f t="shared" si="176"/>
        <v>0</v>
      </c>
      <c r="AD730" s="487">
        <f t="shared" si="176"/>
        <v>0</v>
      </c>
      <c r="AE730" s="487">
        <f t="shared" si="176"/>
        <v>0</v>
      </c>
      <c r="AF730" s="487">
        <f t="shared" si="176"/>
        <v>0</v>
      </c>
      <c r="AG730" s="487">
        <f t="shared" si="176"/>
        <v>0</v>
      </c>
      <c r="AH730" s="487">
        <f t="shared" si="176"/>
        <v>817642368</v>
      </c>
      <c r="AI730" s="487">
        <f t="shared" si="176"/>
        <v>0</v>
      </c>
      <c r="AJ730" s="487">
        <f t="shared" si="176"/>
        <v>0</v>
      </c>
      <c r="AK730" s="487">
        <f t="shared" si="176"/>
        <v>2469892368</v>
      </c>
    </row>
    <row r="731" spans="1:37" s="562" customFormat="1" ht="30" customHeight="1" x14ac:dyDescent="0.2">
      <c r="A731" s="488"/>
      <c r="B731" s="489"/>
      <c r="C731" s="490"/>
      <c r="D731" s="489"/>
      <c r="E731" s="490"/>
      <c r="F731" s="490"/>
      <c r="G731" s="489"/>
      <c r="H731" s="490"/>
      <c r="I731" s="489"/>
      <c r="J731" s="490"/>
      <c r="K731" s="491"/>
      <c r="L731" s="491"/>
      <c r="M731" s="489"/>
      <c r="N731" s="490"/>
      <c r="O731" s="489"/>
      <c r="P731" s="490"/>
      <c r="Q731" s="351"/>
      <c r="R731" s="351"/>
      <c r="S731" s="351"/>
      <c r="T731" s="351"/>
      <c r="U731" s="351"/>
      <c r="V731" s="351"/>
      <c r="W731" s="351"/>
      <c r="X731" s="351"/>
      <c r="Y731" s="351"/>
      <c r="Z731" s="351"/>
      <c r="AA731" s="351"/>
      <c r="AB731" s="351"/>
      <c r="AC731" s="351"/>
      <c r="AD731" s="351"/>
      <c r="AE731" s="351"/>
      <c r="AF731" s="492"/>
      <c r="AG731" s="351"/>
      <c r="AH731" s="351"/>
      <c r="AI731" s="351"/>
      <c r="AJ731" s="351"/>
      <c r="AK731" s="351"/>
    </row>
    <row r="732" spans="1:37" ht="30" customHeight="1" x14ac:dyDescent="0.2">
      <c r="A732" s="312" t="s">
        <v>839</v>
      </c>
      <c r="B732" s="312"/>
      <c r="C732" s="313"/>
      <c r="D732" s="312"/>
      <c r="E732" s="312"/>
      <c r="F732" s="312"/>
      <c r="G732" s="314"/>
      <c r="H732" s="315"/>
      <c r="I732" s="314"/>
      <c r="J732" s="314"/>
      <c r="K732" s="316"/>
      <c r="L732" s="316"/>
      <c r="M732" s="607"/>
      <c r="N732" s="315"/>
      <c r="O732" s="314"/>
      <c r="P732" s="315"/>
      <c r="Q732" s="448"/>
      <c r="R732" s="448"/>
      <c r="S732" s="448"/>
      <c r="T732" s="448"/>
      <c r="U732" s="448"/>
      <c r="V732" s="448"/>
      <c r="W732" s="448"/>
      <c r="X732" s="448"/>
      <c r="Y732" s="448"/>
      <c r="Z732" s="448"/>
      <c r="AA732" s="448"/>
      <c r="AB732" s="448"/>
      <c r="AC732" s="448"/>
      <c r="AD732" s="448"/>
      <c r="AE732" s="448"/>
      <c r="AF732" s="449"/>
      <c r="AG732" s="450"/>
      <c r="AH732" s="448"/>
      <c r="AI732" s="448"/>
      <c r="AJ732" s="448"/>
      <c r="AK732" s="451"/>
    </row>
    <row r="733" spans="1:37" ht="30" customHeight="1" x14ac:dyDescent="0.2">
      <c r="A733" s="645">
        <v>4</v>
      </c>
      <c r="B733" s="302" t="s">
        <v>840</v>
      </c>
      <c r="C733" s="172"/>
      <c r="D733" s="302"/>
      <c r="E733" s="302"/>
      <c r="F733" s="202"/>
      <c r="G733" s="317"/>
      <c r="H733" s="318"/>
      <c r="I733" s="317"/>
      <c r="J733" s="317"/>
      <c r="K733" s="319"/>
      <c r="L733" s="319"/>
      <c r="M733" s="149"/>
      <c r="N733" s="318"/>
      <c r="O733" s="317"/>
      <c r="P733" s="317"/>
      <c r="Q733" s="452"/>
      <c r="R733" s="452"/>
      <c r="S733" s="452"/>
      <c r="T733" s="452"/>
      <c r="U733" s="452"/>
      <c r="V733" s="452"/>
      <c r="W733" s="452"/>
      <c r="X733" s="452"/>
      <c r="Y733" s="452"/>
      <c r="Z733" s="452"/>
      <c r="AA733" s="452"/>
      <c r="AB733" s="452"/>
      <c r="AC733" s="452"/>
      <c r="AD733" s="452"/>
      <c r="AE733" s="452"/>
      <c r="AF733" s="453"/>
      <c r="AG733" s="452"/>
      <c r="AH733" s="452"/>
      <c r="AI733" s="452"/>
      <c r="AJ733" s="452"/>
      <c r="AK733" s="406"/>
    </row>
    <row r="734" spans="1:37" ht="30" customHeight="1" x14ac:dyDescent="0.2">
      <c r="A734" s="48"/>
      <c r="B734" s="118">
        <v>23</v>
      </c>
      <c r="C734" s="162" t="s">
        <v>160</v>
      </c>
      <c r="D734" s="296"/>
      <c r="E734" s="296"/>
      <c r="F734" s="296"/>
      <c r="G734" s="12"/>
      <c r="H734" s="13"/>
      <c r="I734" s="12"/>
      <c r="J734" s="12"/>
      <c r="K734" s="94"/>
      <c r="L734" s="94"/>
      <c r="M734" s="93"/>
      <c r="N734" s="321"/>
      <c r="O734" s="320"/>
      <c r="P734" s="320"/>
      <c r="Q734" s="454"/>
      <c r="R734" s="454"/>
      <c r="S734" s="454"/>
      <c r="T734" s="454"/>
      <c r="U734" s="454"/>
      <c r="V734" s="454"/>
      <c r="W734" s="454"/>
      <c r="X734" s="454"/>
      <c r="Y734" s="454"/>
      <c r="Z734" s="454"/>
      <c r="AA734" s="454"/>
      <c r="AB734" s="454"/>
      <c r="AC734" s="454"/>
      <c r="AD734" s="454"/>
      <c r="AE734" s="454"/>
      <c r="AF734" s="455"/>
      <c r="AG734" s="454"/>
      <c r="AH734" s="454"/>
      <c r="AI734" s="454"/>
      <c r="AJ734" s="454"/>
      <c r="AK734" s="456"/>
    </row>
    <row r="735" spans="1:37" ht="30" customHeight="1" x14ac:dyDescent="0.2">
      <c r="A735" s="16"/>
      <c r="B735" s="333"/>
      <c r="C735" s="648"/>
      <c r="D735" s="642"/>
      <c r="E735" s="648"/>
      <c r="F735" s="648"/>
      <c r="G735" s="181">
        <v>77</v>
      </c>
      <c r="H735" s="51" t="s">
        <v>841</v>
      </c>
      <c r="I735" s="52"/>
      <c r="J735" s="52"/>
      <c r="K735" s="96"/>
      <c r="L735" s="96"/>
      <c r="M735" s="581"/>
      <c r="N735" s="136"/>
      <c r="O735" s="52"/>
      <c r="P735" s="52"/>
      <c r="Q735" s="231"/>
      <c r="R735" s="231"/>
      <c r="S735" s="231"/>
      <c r="T735" s="231"/>
      <c r="U735" s="231"/>
      <c r="V735" s="231"/>
      <c r="W735" s="231"/>
      <c r="X735" s="231"/>
      <c r="Y735" s="231"/>
      <c r="Z735" s="231"/>
      <c r="AA735" s="231"/>
      <c r="AB735" s="231"/>
      <c r="AC735" s="231"/>
      <c r="AD735" s="231"/>
      <c r="AE735" s="231"/>
      <c r="AF735" s="359"/>
      <c r="AG735" s="231"/>
      <c r="AH735" s="231"/>
      <c r="AI735" s="231"/>
      <c r="AJ735" s="231"/>
      <c r="AK735" s="444"/>
    </row>
    <row r="736" spans="1:37" ht="57" customHeight="1" x14ac:dyDescent="0.2">
      <c r="A736" s="16"/>
      <c r="B736" s="334"/>
      <c r="C736" s="732">
        <v>11</v>
      </c>
      <c r="D736" s="732" t="s">
        <v>842</v>
      </c>
      <c r="E736" s="732" t="s">
        <v>843</v>
      </c>
      <c r="F736" s="732" t="s">
        <v>844</v>
      </c>
      <c r="G736" s="128"/>
      <c r="H736" s="673">
        <v>223</v>
      </c>
      <c r="I736" s="665" t="s">
        <v>158</v>
      </c>
      <c r="J736" s="18" t="s">
        <v>32</v>
      </c>
      <c r="K736" s="19">
        <v>1</v>
      </c>
      <c r="L736" s="743">
        <v>2017003630054</v>
      </c>
      <c r="M736" s="21" t="s">
        <v>111</v>
      </c>
      <c r="N736" s="786" t="s">
        <v>845</v>
      </c>
      <c r="O736" s="734" t="s">
        <v>846</v>
      </c>
      <c r="P736" s="673" t="s">
        <v>41</v>
      </c>
      <c r="Q736" s="346">
        <v>0</v>
      </c>
      <c r="R736" s="346">
        <v>0</v>
      </c>
      <c r="S736" s="346">
        <v>0</v>
      </c>
      <c r="T736" s="346">
        <v>0</v>
      </c>
      <c r="U736" s="346">
        <v>0</v>
      </c>
      <c r="V736" s="346">
        <v>0</v>
      </c>
      <c r="W736" s="346">
        <v>0</v>
      </c>
      <c r="X736" s="346"/>
      <c r="Y736" s="346"/>
      <c r="Z736" s="346">
        <v>0</v>
      </c>
      <c r="AA736" s="346">
        <v>0</v>
      </c>
      <c r="AB736" s="346"/>
      <c r="AC736" s="346"/>
      <c r="AD736" s="346">
        <v>0</v>
      </c>
      <c r="AE736" s="346">
        <v>0</v>
      </c>
      <c r="AF736" s="347">
        <v>0</v>
      </c>
      <c r="AG736" s="360"/>
      <c r="AH736" s="347">
        <v>102733200</v>
      </c>
      <c r="AI736" s="349"/>
      <c r="AJ736" s="348">
        <v>0</v>
      </c>
      <c r="AK736" s="346">
        <f>Q736+R736+S736+T736+U736+V736+W736+X736+Y736+Z736+AA736+AB736+AC736+AD736+AE736+AF736+AG736+AH736+AI736+AJ736</f>
        <v>102733200</v>
      </c>
    </row>
    <row r="737" spans="1:37" ht="57" customHeight="1" x14ac:dyDescent="0.2">
      <c r="A737" s="16"/>
      <c r="B737" s="334"/>
      <c r="C737" s="732"/>
      <c r="D737" s="732"/>
      <c r="E737" s="732"/>
      <c r="F737" s="732"/>
      <c r="G737" s="25"/>
      <c r="H737" s="673">
        <v>224</v>
      </c>
      <c r="I737" s="665" t="s">
        <v>847</v>
      </c>
      <c r="J737" s="18">
        <v>0</v>
      </c>
      <c r="K737" s="19">
        <v>1</v>
      </c>
      <c r="L737" s="744"/>
      <c r="M737" s="21" t="s">
        <v>111</v>
      </c>
      <c r="N737" s="784"/>
      <c r="O737" s="735"/>
      <c r="P737" s="673" t="s">
        <v>41</v>
      </c>
      <c r="Q737" s="346">
        <v>0</v>
      </c>
      <c r="R737" s="346">
        <v>0</v>
      </c>
      <c r="S737" s="346">
        <v>0</v>
      </c>
      <c r="T737" s="346">
        <v>0</v>
      </c>
      <c r="U737" s="346">
        <v>0</v>
      </c>
      <c r="V737" s="346">
        <v>0</v>
      </c>
      <c r="W737" s="346">
        <v>0</v>
      </c>
      <c r="X737" s="346"/>
      <c r="Y737" s="346"/>
      <c r="Z737" s="346">
        <v>0</v>
      </c>
      <c r="AA737" s="346">
        <v>0</v>
      </c>
      <c r="AB737" s="346"/>
      <c r="AC737" s="346"/>
      <c r="AD737" s="346">
        <v>0</v>
      </c>
      <c r="AE737" s="346">
        <v>0</v>
      </c>
      <c r="AF737" s="347">
        <v>0</v>
      </c>
      <c r="AG737" s="360"/>
      <c r="AH737" s="347">
        <v>10600000</v>
      </c>
      <c r="AI737" s="349"/>
      <c r="AJ737" s="348">
        <v>0</v>
      </c>
      <c r="AK737" s="346">
        <f>Q737+R737+S737+T737+U737+V737+W737+X737+Y737+Z737+AA737+AB737+AC737+AD737+AE737+AF737+AG737+AH737+AI737+AJ737</f>
        <v>10600000</v>
      </c>
    </row>
    <row r="738" spans="1:37" ht="57" customHeight="1" x14ac:dyDescent="0.2">
      <c r="A738" s="16"/>
      <c r="B738" s="334"/>
      <c r="C738" s="732"/>
      <c r="D738" s="732"/>
      <c r="E738" s="732"/>
      <c r="F738" s="732"/>
      <c r="G738" s="27"/>
      <c r="H738" s="673">
        <v>225</v>
      </c>
      <c r="I738" s="665" t="s">
        <v>848</v>
      </c>
      <c r="J738" s="18">
        <v>0</v>
      </c>
      <c r="K738" s="19">
        <v>1</v>
      </c>
      <c r="L738" s="745"/>
      <c r="M738" s="21" t="s">
        <v>111</v>
      </c>
      <c r="N738" s="785"/>
      <c r="O738" s="736"/>
      <c r="P738" s="673" t="s">
        <v>41</v>
      </c>
      <c r="Q738" s="346">
        <v>0</v>
      </c>
      <c r="R738" s="346">
        <v>0</v>
      </c>
      <c r="S738" s="346">
        <v>0</v>
      </c>
      <c r="T738" s="346">
        <v>0</v>
      </c>
      <c r="U738" s="346">
        <v>0</v>
      </c>
      <c r="V738" s="346">
        <v>0</v>
      </c>
      <c r="W738" s="346">
        <v>0</v>
      </c>
      <c r="X738" s="346"/>
      <c r="Y738" s="346"/>
      <c r="Z738" s="346">
        <v>0</v>
      </c>
      <c r="AA738" s="346">
        <v>0</v>
      </c>
      <c r="AB738" s="346"/>
      <c r="AC738" s="346"/>
      <c r="AD738" s="346">
        <v>0</v>
      </c>
      <c r="AE738" s="346">
        <v>0</v>
      </c>
      <c r="AF738" s="347">
        <v>0</v>
      </c>
      <c r="AG738" s="360"/>
      <c r="AH738" s="347">
        <v>1666800</v>
      </c>
      <c r="AI738" s="349"/>
      <c r="AJ738" s="348">
        <v>0</v>
      </c>
      <c r="AK738" s="346">
        <f>Q738+R738+S738+T738+U738+V738+W738+X738+Y738+Z738+AA738+AB738+AC738+AD738+AE738+AF738+AG738+AH738+AI738+AJ738</f>
        <v>1666800</v>
      </c>
    </row>
    <row r="739" spans="1:37" ht="30" customHeight="1" x14ac:dyDescent="0.2">
      <c r="A739" s="16"/>
      <c r="B739" s="335"/>
      <c r="C739" s="649"/>
      <c r="D739" s="644"/>
      <c r="E739" s="649"/>
      <c r="F739" s="649"/>
      <c r="G739" s="239"/>
      <c r="H739" s="31"/>
      <c r="I739" s="30"/>
      <c r="J739" s="32"/>
      <c r="K739" s="82"/>
      <c r="L739" s="82"/>
      <c r="M739" s="151"/>
      <c r="N739" s="31"/>
      <c r="O739" s="30"/>
      <c r="P739" s="31"/>
      <c r="Q739" s="355">
        <f>SUM(Q736:Q738)</f>
        <v>0</v>
      </c>
      <c r="R739" s="355">
        <f t="shared" ref="R739:AK739" si="177">SUM(R736:R738)</f>
        <v>0</v>
      </c>
      <c r="S739" s="355">
        <f t="shared" si="177"/>
        <v>0</v>
      </c>
      <c r="T739" s="355">
        <f t="shared" si="177"/>
        <v>0</v>
      </c>
      <c r="U739" s="355">
        <f t="shared" si="177"/>
        <v>0</v>
      </c>
      <c r="V739" s="355">
        <f t="shared" si="177"/>
        <v>0</v>
      </c>
      <c r="W739" s="355">
        <f t="shared" si="177"/>
        <v>0</v>
      </c>
      <c r="X739" s="355">
        <f t="shared" si="177"/>
        <v>0</v>
      </c>
      <c r="Y739" s="355">
        <f t="shared" si="177"/>
        <v>0</v>
      </c>
      <c r="Z739" s="355">
        <f t="shared" si="177"/>
        <v>0</v>
      </c>
      <c r="AA739" s="355">
        <f t="shared" si="177"/>
        <v>0</v>
      </c>
      <c r="AB739" s="355">
        <f t="shared" si="177"/>
        <v>0</v>
      </c>
      <c r="AC739" s="355">
        <f t="shared" si="177"/>
        <v>0</v>
      </c>
      <c r="AD739" s="355">
        <f t="shared" si="177"/>
        <v>0</v>
      </c>
      <c r="AE739" s="355">
        <f t="shared" si="177"/>
        <v>0</v>
      </c>
      <c r="AF739" s="355">
        <f t="shared" si="177"/>
        <v>0</v>
      </c>
      <c r="AG739" s="355">
        <f t="shared" si="177"/>
        <v>0</v>
      </c>
      <c r="AH739" s="355">
        <f t="shared" si="177"/>
        <v>115000000</v>
      </c>
      <c r="AI739" s="355">
        <f t="shared" si="177"/>
        <v>0</v>
      </c>
      <c r="AJ739" s="355">
        <f t="shared" si="177"/>
        <v>0</v>
      </c>
      <c r="AK739" s="355">
        <f t="shared" si="177"/>
        <v>115000000</v>
      </c>
    </row>
    <row r="740" spans="1:37" ht="30" customHeight="1" x14ac:dyDescent="0.2">
      <c r="A740" s="29"/>
      <c r="B740" s="34"/>
      <c r="C740" s="35"/>
      <c r="D740" s="34"/>
      <c r="E740" s="35"/>
      <c r="F740" s="35"/>
      <c r="G740" s="68"/>
      <c r="H740" s="35"/>
      <c r="I740" s="34"/>
      <c r="J740" s="36"/>
      <c r="K740" s="84"/>
      <c r="L740" s="84"/>
      <c r="M740" s="303"/>
      <c r="N740" s="35"/>
      <c r="O740" s="34"/>
      <c r="P740" s="35"/>
      <c r="Q740" s="361">
        <f>Q739</f>
        <v>0</v>
      </c>
      <c r="R740" s="361">
        <f t="shared" ref="R740:AK742" si="178">R739</f>
        <v>0</v>
      </c>
      <c r="S740" s="361">
        <f t="shared" si="178"/>
        <v>0</v>
      </c>
      <c r="T740" s="361">
        <f t="shared" si="178"/>
        <v>0</v>
      </c>
      <c r="U740" s="361">
        <f t="shared" si="178"/>
        <v>0</v>
      </c>
      <c r="V740" s="361">
        <f t="shared" si="178"/>
        <v>0</v>
      </c>
      <c r="W740" s="361">
        <f t="shared" si="178"/>
        <v>0</v>
      </c>
      <c r="X740" s="361">
        <f t="shared" si="178"/>
        <v>0</v>
      </c>
      <c r="Y740" s="361">
        <f t="shared" si="178"/>
        <v>0</v>
      </c>
      <c r="Z740" s="361">
        <f t="shared" si="178"/>
        <v>0</v>
      </c>
      <c r="AA740" s="361">
        <f t="shared" si="178"/>
        <v>0</v>
      </c>
      <c r="AB740" s="361">
        <f t="shared" si="178"/>
        <v>0</v>
      </c>
      <c r="AC740" s="361">
        <f t="shared" si="178"/>
        <v>0</v>
      </c>
      <c r="AD740" s="361">
        <f t="shared" si="178"/>
        <v>0</v>
      </c>
      <c r="AE740" s="361">
        <f t="shared" si="178"/>
        <v>0</v>
      </c>
      <c r="AF740" s="361">
        <f t="shared" si="178"/>
        <v>0</v>
      </c>
      <c r="AG740" s="361">
        <f t="shared" si="178"/>
        <v>0</v>
      </c>
      <c r="AH740" s="361">
        <f t="shared" si="178"/>
        <v>115000000</v>
      </c>
      <c r="AI740" s="361">
        <f t="shared" si="178"/>
        <v>0</v>
      </c>
      <c r="AJ740" s="361">
        <f t="shared" si="178"/>
        <v>0</v>
      </c>
      <c r="AK740" s="361">
        <f t="shared" si="178"/>
        <v>115000000</v>
      </c>
    </row>
    <row r="741" spans="1:37" ht="30" customHeight="1" x14ac:dyDescent="0.2">
      <c r="A741" s="37"/>
      <c r="B741" s="37"/>
      <c r="C741" s="38"/>
      <c r="D741" s="37"/>
      <c r="E741" s="38"/>
      <c r="F741" s="38"/>
      <c r="G741" s="114"/>
      <c r="H741" s="38"/>
      <c r="I741" s="37"/>
      <c r="J741" s="39"/>
      <c r="K741" s="85"/>
      <c r="L741" s="85"/>
      <c r="M741" s="311"/>
      <c r="N741" s="38"/>
      <c r="O741" s="37"/>
      <c r="P741" s="38"/>
      <c r="Q741" s="367">
        <f>Q740</f>
        <v>0</v>
      </c>
      <c r="R741" s="367">
        <f t="shared" si="178"/>
        <v>0</v>
      </c>
      <c r="S741" s="367">
        <f t="shared" si="178"/>
        <v>0</v>
      </c>
      <c r="T741" s="367">
        <f t="shared" si="178"/>
        <v>0</v>
      </c>
      <c r="U741" s="367">
        <f t="shared" si="178"/>
        <v>0</v>
      </c>
      <c r="V741" s="367">
        <f t="shared" si="178"/>
        <v>0</v>
      </c>
      <c r="W741" s="367">
        <f t="shared" si="178"/>
        <v>0</v>
      </c>
      <c r="X741" s="367">
        <f t="shared" si="178"/>
        <v>0</v>
      </c>
      <c r="Y741" s="367">
        <f t="shared" si="178"/>
        <v>0</v>
      </c>
      <c r="Z741" s="367">
        <f t="shared" si="178"/>
        <v>0</v>
      </c>
      <c r="AA741" s="367">
        <f t="shared" si="178"/>
        <v>0</v>
      </c>
      <c r="AB741" s="367">
        <f t="shared" si="178"/>
        <v>0</v>
      </c>
      <c r="AC741" s="367">
        <f t="shared" si="178"/>
        <v>0</v>
      </c>
      <c r="AD741" s="367">
        <f t="shared" si="178"/>
        <v>0</v>
      </c>
      <c r="AE741" s="367">
        <f t="shared" si="178"/>
        <v>0</v>
      </c>
      <c r="AF741" s="367">
        <f t="shared" si="178"/>
        <v>0</v>
      </c>
      <c r="AG741" s="367">
        <f t="shared" si="178"/>
        <v>0</v>
      </c>
      <c r="AH741" s="367">
        <f t="shared" si="178"/>
        <v>115000000</v>
      </c>
      <c r="AI741" s="367">
        <f t="shared" si="178"/>
        <v>0</v>
      </c>
      <c r="AJ741" s="367">
        <f t="shared" si="178"/>
        <v>0</v>
      </c>
      <c r="AK741" s="367">
        <f t="shared" si="178"/>
        <v>115000000</v>
      </c>
    </row>
    <row r="742" spans="1:37" ht="30" customHeight="1" x14ac:dyDescent="0.2">
      <c r="A742" s="483"/>
      <c r="B742" s="483"/>
      <c r="C742" s="484"/>
      <c r="D742" s="483"/>
      <c r="E742" s="484"/>
      <c r="F742" s="484"/>
      <c r="G742" s="485"/>
      <c r="H742" s="484"/>
      <c r="I742" s="483"/>
      <c r="J742" s="493"/>
      <c r="K742" s="494"/>
      <c r="L742" s="494"/>
      <c r="M742" s="608"/>
      <c r="N742" s="484"/>
      <c r="O742" s="483"/>
      <c r="P742" s="484"/>
      <c r="Q742" s="487">
        <f>Q741</f>
        <v>0</v>
      </c>
      <c r="R742" s="487">
        <f t="shared" si="178"/>
        <v>0</v>
      </c>
      <c r="S742" s="487">
        <f t="shared" si="178"/>
        <v>0</v>
      </c>
      <c r="T742" s="487">
        <f t="shared" si="178"/>
        <v>0</v>
      </c>
      <c r="U742" s="487">
        <f t="shared" si="178"/>
        <v>0</v>
      </c>
      <c r="V742" s="487">
        <f t="shared" si="178"/>
        <v>0</v>
      </c>
      <c r="W742" s="487">
        <f t="shared" si="178"/>
        <v>0</v>
      </c>
      <c r="X742" s="487">
        <f t="shared" si="178"/>
        <v>0</v>
      </c>
      <c r="Y742" s="487">
        <f t="shared" si="178"/>
        <v>0</v>
      </c>
      <c r="Z742" s="487">
        <f t="shared" si="178"/>
        <v>0</v>
      </c>
      <c r="AA742" s="487">
        <f t="shared" si="178"/>
        <v>0</v>
      </c>
      <c r="AB742" s="487">
        <f t="shared" si="178"/>
        <v>0</v>
      </c>
      <c r="AC742" s="487">
        <f t="shared" si="178"/>
        <v>0</v>
      </c>
      <c r="AD742" s="487">
        <f t="shared" si="178"/>
        <v>0</v>
      </c>
      <c r="AE742" s="487">
        <f t="shared" si="178"/>
        <v>0</v>
      </c>
      <c r="AF742" s="487">
        <f t="shared" si="178"/>
        <v>0</v>
      </c>
      <c r="AG742" s="487">
        <f t="shared" si="178"/>
        <v>0</v>
      </c>
      <c r="AH742" s="487">
        <f t="shared" si="178"/>
        <v>115000000</v>
      </c>
      <c r="AI742" s="487">
        <f t="shared" si="178"/>
        <v>0</v>
      </c>
      <c r="AJ742" s="487">
        <f t="shared" si="178"/>
        <v>0</v>
      </c>
      <c r="AK742" s="487">
        <f t="shared" si="178"/>
        <v>115000000</v>
      </c>
    </row>
    <row r="743" spans="1:37" s="557" customFormat="1" ht="30" customHeight="1" x14ac:dyDescent="0.25">
      <c r="A743" s="799" t="s">
        <v>849</v>
      </c>
      <c r="B743" s="800"/>
      <c r="C743" s="800"/>
      <c r="D743" s="800"/>
      <c r="E743" s="800"/>
      <c r="F743" s="800"/>
      <c r="G743" s="800"/>
      <c r="H743" s="800"/>
      <c r="I743" s="800"/>
      <c r="J743" s="800"/>
      <c r="K743" s="800"/>
      <c r="L743" s="637"/>
      <c r="M743" s="213"/>
      <c r="N743" s="95"/>
      <c r="O743" s="49"/>
      <c r="P743" s="49"/>
      <c r="Q743" s="459">
        <f t="shared" ref="Q743:AK743" si="179">+Q742+Q730+Q714</f>
        <v>0</v>
      </c>
      <c r="R743" s="459">
        <f t="shared" si="179"/>
        <v>0</v>
      </c>
      <c r="S743" s="459">
        <f t="shared" si="179"/>
        <v>1652250000</v>
      </c>
      <c r="T743" s="459">
        <f t="shared" si="179"/>
        <v>0</v>
      </c>
      <c r="U743" s="459">
        <f t="shared" si="179"/>
        <v>0</v>
      </c>
      <c r="V743" s="459">
        <f t="shared" si="179"/>
        <v>0</v>
      </c>
      <c r="W743" s="459">
        <f t="shared" si="179"/>
        <v>0</v>
      </c>
      <c r="X743" s="459">
        <f t="shared" si="179"/>
        <v>0</v>
      </c>
      <c r="Y743" s="459">
        <f t="shared" si="179"/>
        <v>0</v>
      </c>
      <c r="Z743" s="459">
        <f t="shared" si="179"/>
        <v>0</v>
      </c>
      <c r="AA743" s="459">
        <f t="shared" si="179"/>
        <v>0</v>
      </c>
      <c r="AB743" s="459">
        <f t="shared" si="179"/>
        <v>0</v>
      </c>
      <c r="AC743" s="459">
        <f t="shared" si="179"/>
        <v>0</v>
      </c>
      <c r="AD743" s="459">
        <f t="shared" si="179"/>
        <v>0</v>
      </c>
      <c r="AE743" s="459">
        <f t="shared" si="179"/>
        <v>0</v>
      </c>
      <c r="AF743" s="459">
        <f t="shared" si="179"/>
        <v>839854602</v>
      </c>
      <c r="AG743" s="459">
        <f t="shared" si="179"/>
        <v>2066846094.49</v>
      </c>
      <c r="AH743" s="459">
        <f t="shared" si="179"/>
        <v>964870528</v>
      </c>
      <c r="AI743" s="459">
        <f t="shared" si="179"/>
        <v>0</v>
      </c>
      <c r="AJ743" s="459">
        <f t="shared" si="179"/>
        <v>109227642</v>
      </c>
      <c r="AK743" s="459">
        <f t="shared" si="179"/>
        <v>5633048866.4899998</v>
      </c>
    </row>
    <row r="744" spans="1:37" s="566" customFormat="1" ht="30" customHeight="1" x14ac:dyDescent="0.25">
      <c r="A744" s="801" t="s">
        <v>850</v>
      </c>
      <c r="B744" s="802"/>
      <c r="C744" s="802"/>
      <c r="D744" s="802"/>
      <c r="E744" s="802"/>
      <c r="F744" s="802"/>
      <c r="G744" s="802"/>
      <c r="H744" s="802"/>
      <c r="I744" s="625"/>
      <c r="J744" s="626"/>
      <c r="K744" s="627"/>
      <c r="L744" s="627"/>
      <c r="M744" s="625"/>
      <c r="N744" s="628"/>
      <c r="O744" s="629"/>
      <c r="P744" s="672"/>
      <c r="Q744" s="624">
        <f t="shared" ref="Q744:AJ744" si="180">+Q671+Q743</f>
        <v>2963763815</v>
      </c>
      <c r="R744" s="624">
        <f t="shared" si="180"/>
        <v>3885430678</v>
      </c>
      <c r="S744" s="624">
        <f t="shared" si="180"/>
        <v>12549090365</v>
      </c>
      <c r="T744" s="624">
        <f t="shared" si="180"/>
        <v>6614956012.3800001</v>
      </c>
      <c r="U744" s="624">
        <f t="shared" si="180"/>
        <v>43558736</v>
      </c>
      <c r="V744" s="624">
        <f t="shared" si="180"/>
        <v>736645151</v>
      </c>
      <c r="W744" s="624">
        <f t="shared" si="180"/>
        <v>3571563200</v>
      </c>
      <c r="X744" s="624">
        <f t="shared" si="180"/>
        <v>4114536361.0700002</v>
      </c>
      <c r="Y744" s="624">
        <f t="shared" si="180"/>
        <v>8532619661</v>
      </c>
      <c r="Z744" s="624">
        <f t="shared" si="180"/>
        <v>23836501474</v>
      </c>
      <c r="AA744" s="624">
        <f t="shared" si="180"/>
        <v>2550538488</v>
      </c>
      <c r="AB744" s="624">
        <f t="shared" si="180"/>
        <v>117567021307.86</v>
      </c>
      <c r="AC744" s="624">
        <f t="shared" si="180"/>
        <v>17556304102</v>
      </c>
      <c r="AD744" s="624">
        <f t="shared" si="180"/>
        <v>8216499579.2399998</v>
      </c>
      <c r="AE744" s="624">
        <f t="shared" si="180"/>
        <v>2525108749</v>
      </c>
      <c r="AF744" s="624">
        <f t="shared" si="180"/>
        <v>30706213318.900002</v>
      </c>
      <c r="AG744" s="624">
        <f t="shared" si="180"/>
        <v>2066846094.49</v>
      </c>
      <c r="AH744" s="624">
        <f t="shared" si="180"/>
        <v>1810815007</v>
      </c>
      <c r="AI744" s="624">
        <f t="shared" si="180"/>
        <v>8642341966.5</v>
      </c>
      <c r="AJ744" s="624">
        <f t="shared" si="180"/>
        <v>13784071814</v>
      </c>
      <c r="AK744" s="624">
        <f>+AK671+AK743</f>
        <v>272274425880.44</v>
      </c>
    </row>
    <row r="745" spans="1:37" s="562" customFormat="1" ht="30" customHeight="1" x14ac:dyDescent="0.2">
      <c r="C745" s="339"/>
      <c r="H745" s="339"/>
      <c r="K745" s="567"/>
      <c r="L745" s="567"/>
      <c r="M745" s="609"/>
      <c r="N745" s="339"/>
      <c r="P745" s="339"/>
      <c r="AF745" s="568"/>
      <c r="AK745" s="569"/>
    </row>
    <row r="746" spans="1:37" s="562" customFormat="1" ht="30" customHeight="1" x14ac:dyDescent="0.2">
      <c r="C746" s="339"/>
      <c r="H746" s="339"/>
      <c r="K746" s="567"/>
      <c r="L746" s="567"/>
      <c r="M746" s="609"/>
      <c r="N746" s="339"/>
      <c r="P746" s="339"/>
      <c r="X746" s="570"/>
      <c r="AB746" s="570"/>
      <c r="AF746" s="568"/>
      <c r="AK746" s="570"/>
    </row>
    <row r="747" spans="1:37" s="562" customFormat="1" ht="30" customHeight="1" x14ac:dyDescent="0.2">
      <c r="C747" s="339"/>
      <c r="H747" s="339"/>
      <c r="K747" s="567"/>
      <c r="L747" s="567"/>
      <c r="M747" s="609"/>
      <c r="N747" s="339"/>
      <c r="P747" s="339"/>
      <c r="AB747" s="570"/>
      <c r="AF747" s="568"/>
    </row>
    <row r="748" spans="1:37" s="562" customFormat="1" ht="30" customHeight="1" x14ac:dyDescent="0.2">
      <c r="C748" s="339"/>
      <c r="H748" s="339"/>
      <c r="K748" s="567"/>
      <c r="L748" s="567"/>
      <c r="M748" s="609"/>
      <c r="N748" s="339"/>
      <c r="P748" s="339"/>
      <c r="AF748" s="568"/>
      <c r="AK748" s="571" t="s">
        <v>56</v>
      </c>
    </row>
    <row r="749" spans="1:37" s="562" customFormat="1" ht="30" customHeight="1" x14ac:dyDescent="0.2">
      <c r="C749" s="339"/>
      <c r="H749" s="339"/>
      <c r="K749" s="567"/>
      <c r="L749" s="567"/>
      <c r="M749" s="609"/>
      <c r="N749" s="339"/>
      <c r="P749" s="339"/>
      <c r="AB749" s="570"/>
      <c r="AF749" s="568"/>
    </row>
    <row r="750" spans="1:37" s="562" customFormat="1" ht="30" customHeight="1" x14ac:dyDescent="0.2">
      <c r="C750" s="339"/>
      <c r="H750" s="339"/>
      <c r="K750" s="567"/>
      <c r="L750" s="567"/>
      <c r="M750" s="609"/>
      <c r="N750" s="339"/>
      <c r="P750" s="339"/>
      <c r="AF750" s="568"/>
    </row>
    <row r="751" spans="1:37" s="562" customFormat="1" ht="30" customHeight="1" x14ac:dyDescent="0.2">
      <c r="C751" s="339"/>
      <c r="H751" s="339"/>
      <c r="K751" s="567"/>
      <c r="L751" s="567"/>
      <c r="M751" s="609"/>
      <c r="N751" s="339"/>
      <c r="P751" s="339"/>
      <c r="AF751" s="568"/>
    </row>
    <row r="752" spans="1:37" s="562" customFormat="1" ht="30" customHeight="1" x14ac:dyDescent="0.2">
      <c r="C752" s="339"/>
      <c r="H752" s="339"/>
      <c r="K752" s="567"/>
      <c r="L752" s="567"/>
      <c r="M752" s="609"/>
      <c r="N752" s="339"/>
      <c r="P752" s="339"/>
      <c r="AF752" s="568"/>
    </row>
    <row r="753" spans="3:32" s="562" customFormat="1" ht="30" customHeight="1" x14ac:dyDescent="0.2">
      <c r="C753" s="339"/>
      <c r="H753" s="339"/>
      <c r="K753" s="567"/>
      <c r="L753" s="567"/>
      <c r="M753" s="609"/>
      <c r="N753" s="339"/>
      <c r="P753" s="339"/>
      <c r="AF753" s="568"/>
    </row>
    <row r="754" spans="3:32" s="562" customFormat="1" ht="30" customHeight="1" x14ac:dyDescent="0.2">
      <c r="C754" s="339"/>
      <c r="H754" s="339"/>
      <c r="K754" s="567"/>
      <c r="L754" s="567"/>
      <c r="M754" s="609"/>
      <c r="N754" s="339"/>
      <c r="P754" s="339"/>
      <c r="AF754" s="568"/>
    </row>
    <row r="755" spans="3:32" s="562" customFormat="1" ht="30" customHeight="1" x14ac:dyDescent="0.2">
      <c r="C755" s="339"/>
      <c r="H755" s="339"/>
      <c r="K755" s="567"/>
      <c r="L755" s="567"/>
      <c r="M755" s="609"/>
      <c r="N755" s="339"/>
      <c r="P755" s="339"/>
      <c r="AF755" s="568"/>
    </row>
    <row r="756" spans="3:32" s="562" customFormat="1" ht="30" customHeight="1" x14ac:dyDescent="0.2">
      <c r="C756" s="339"/>
      <c r="H756" s="339"/>
      <c r="K756" s="567"/>
      <c r="L756" s="567"/>
      <c r="M756" s="609"/>
      <c r="N756" s="339"/>
      <c r="P756" s="339"/>
      <c r="AF756" s="568"/>
    </row>
    <row r="757" spans="3:32" s="562" customFormat="1" ht="30" customHeight="1" x14ac:dyDescent="0.2">
      <c r="C757" s="339"/>
      <c r="H757" s="339"/>
      <c r="K757" s="567"/>
      <c r="L757" s="567"/>
      <c r="M757" s="609"/>
      <c r="N757" s="339"/>
      <c r="P757" s="339"/>
      <c r="AF757" s="568"/>
    </row>
    <row r="758" spans="3:32" s="562" customFormat="1" ht="30" customHeight="1" x14ac:dyDescent="0.2">
      <c r="C758" s="339"/>
      <c r="H758" s="339"/>
      <c r="K758" s="567"/>
      <c r="L758" s="567"/>
      <c r="M758" s="609"/>
      <c r="N758" s="339"/>
      <c r="P758" s="339"/>
      <c r="AF758" s="568"/>
    </row>
    <row r="759" spans="3:32" s="562" customFormat="1" ht="30" customHeight="1" x14ac:dyDescent="0.2">
      <c r="C759" s="339"/>
      <c r="H759" s="339"/>
      <c r="K759" s="567"/>
      <c r="L759" s="567"/>
      <c r="M759" s="609"/>
      <c r="N759" s="339"/>
      <c r="P759" s="339"/>
      <c r="AF759" s="568"/>
    </row>
    <row r="760" spans="3:32" s="562" customFormat="1" ht="30" customHeight="1" x14ac:dyDescent="0.2">
      <c r="C760" s="339"/>
      <c r="H760" s="339"/>
      <c r="K760" s="567"/>
      <c r="L760" s="567"/>
      <c r="M760" s="609"/>
      <c r="N760" s="339"/>
      <c r="P760" s="339"/>
      <c r="AF760" s="568"/>
    </row>
    <row r="761" spans="3:32" s="562" customFormat="1" ht="30" customHeight="1" x14ac:dyDescent="0.2">
      <c r="C761" s="339"/>
      <c r="H761" s="339"/>
      <c r="K761" s="567"/>
      <c r="L761" s="567"/>
      <c r="M761" s="609"/>
      <c r="N761" s="339"/>
      <c r="P761" s="339"/>
      <c r="AF761" s="568"/>
    </row>
    <row r="762" spans="3:32" s="562" customFormat="1" ht="30" customHeight="1" x14ac:dyDescent="0.2">
      <c r="C762" s="339"/>
      <c r="H762" s="339"/>
      <c r="K762" s="567"/>
      <c r="L762" s="567"/>
      <c r="M762" s="609"/>
      <c r="N762" s="339"/>
      <c r="P762" s="339"/>
      <c r="AF762" s="568"/>
    </row>
    <row r="763" spans="3:32" s="562" customFormat="1" ht="30" customHeight="1" x14ac:dyDescent="0.2">
      <c r="C763" s="339"/>
      <c r="H763" s="339"/>
      <c r="K763" s="567"/>
      <c r="L763" s="567"/>
      <c r="M763" s="609"/>
      <c r="N763" s="339"/>
      <c r="P763" s="339"/>
      <c r="AF763" s="568"/>
    </row>
    <row r="764" spans="3:32" s="562" customFormat="1" ht="30" customHeight="1" x14ac:dyDescent="0.2">
      <c r="C764" s="339"/>
      <c r="H764" s="339"/>
      <c r="K764" s="567"/>
      <c r="L764" s="567"/>
      <c r="M764" s="609"/>
      <c r="N764" s="339"/>
      <c r="P764" s="339"/>
      <c r="AF764" s="568"/>
    </row>
    <row r="765" spans="3:32" s="562" customFormat="1" ht="30" customHeight="1" x14ac:dyDescent="0.2">
      <c r="C765" s="339"/>
      <c r="H765" s="339"/>
      <c r="K765" s="567"/>
      <c r="L765" s="567"/>
      <c r="M765" s="609"/>
      <c r="N765" s="339"/>
      <c r="P765" s="339"/>
      <c r="AF765" s="568"/>
    </row>
    <row r="766" spans="3:32" s="562" customFormat="1" ht="30" customHeight="1" x14ac:dyDescent="0.2">
      <c r="C766" s="339"/>
      <c r="H766" s="339"/>
      <c r="K766" s="567"/>
      <c r="L766" s="567"/>
      <c r="M766" s="609"/>
      <c r="N766" s="339"/>
      <c r="P766" s="339"/>
      <c r="AF766" s="568"/>
    </row>
    <row r="767" spans="3:32" s="562" customFormat="1" ht="30" customHeight="1" x14ac:dyDescent="0.2">
      <c r="C767" s="339"/>
      <c r="H767" s="339"/>
      <c r="K767" s="567"/>
      <c r="L767" s="567"/>
      <c r="M767" s="609"/>
      <c r="N767" s="339"/>
      <c r="P767" s="339"/>
      <c r="AF767" s="568"/>
    </row>
    <row r="768" spans="3:32" s="562" customFormat="1" ht="30" customHeight="1" x14ac:dyDescent="0.2">
      <c r="C768" s="339"/>
      <c r="H768" s="339"/>
      <c r="K768" s="567"/>
      <c r="L768" s="567"/>
      <c r="M768" s="609"/>
      <c r="N768" s="339"/>
      <c r="P768" s="339"/>
      <c r="AF768" s="568"/>
    </row>
    <row r="769" spans="3:32" s="562" customFormat="1" ht="30" customHeight="1" x14ac:dyDescent="0.2">
      <c r="C769" s="339"/>
      <c r="H769" s="339"/>
      <c r="K769" s="567"/>
      <c r="L769" s="567"/>
      <c r="M769" s="609"/>
      <c r="N769" s="339"/>
      <c r="P769" s="339"/>
      <c r="AF769" s="568"/>
    </row>
    <row r="770" spans="3:32" s="562" customFormat="1" ht="30" customHeight="1" x14ac:dyDescent="0.2">
      <c r="C770" s="339"/>
      <c r="H770" s="339"/>
      <c r="K770" s="567"/>
      <c r="L770" s="567"/>
      <c r="M770" s="609"/>
      <c r="N770" s="339"/>
      <c r="P770" s="339"/>
      <c r="AF770" s="568"/>
    </row>
    <row r="771" spans="3:32" s="562" customFormat="1" ht="30" customHeight="1" x14ac:dyDescent="0.2">
      <c r="C771" s="339"/>
      <c r="H771" s="339"/>
      <c r="K771" s="567"/>
      <c r="L771" s="567"/>
      <c r="M771" s="609"/>
      <c r="N771" s="339"/>
      <c r="P771" s="339"/>
      <c r="AF771" s="568"/>
    </row>
    <row r="772" spans="3:32" s="562" customFormat="1" ht="30" customHeight="1" x14ac:dyDescent="0.2">
      <c r="C772" s="339"/>
      <c r="H772" s="339"/>
      <c r="K772" s="567"/>
      <c r="L772" s="567"/>
      <c r="M772" s="609"/>
      <c r="N772" s="339"/>
      <c r="P772" s="339"/>
      <c r="AF772" s="568"/>
    </row>
    <row r="773" spans="3:32" s="562" customFormat="1" ht="30" customHeight="1" x14ac:dyDescent="0.2">
      <c r="C773" s="339"/>
      <c r="H773" s="339"/>
      <c r="K773" s="567"/>
      <c r="L773" s="567"/>
      <c r="M773" s="609"/>
      <c r="N773" s="339"/>
      <c r="P773" s="339"/>
      <c r="AF773" s="568"/>
    </row>
    <row r="774" spans="3:32" s="562" customFormat="1" ht="30" customHeight="1" x14ac:dyDescent="0.2">
      <c r="C774" s="339"/>
      <c r="H774" s="339"/>
      <c r="K774" s="567"/>
      <c r="L774" s="567"/>
      <c r="M774" s="609"/>
      <c r="N774" s="339"/>
      <c r="P774" s="339"/>
      <c r="AF774" s="568"/>
    </row>
    <row r="775" spans="3:32" s="562" customFormat="1" ht="30" customHeight="1" x14ac:dyDescent="0.2">
      <c r="C775" s="339"/>
      <c r="H775" s="339"/>
      <c r="K775" s="567"/>
      <c r="L775" s="567"/>
      <c r="M775" s="609"/>
      <c r="N775" s="339"/>
      <c r="P775" s="339"/>
      <c r="AF775" s="568"/>
    </row>
    <row r="776" spans="3:32" s="562" customFormat="1" ht="30" customHeight="1" x14ac:dyDescent="0.2">
      <c r="C776" s="339"/>
      <c r="H776" s="339"/>
      <c r="K776" s="567"/>
      <c r="L776" s="567"/>
      <c r="M776" s="609"/>
      <c r="N776" s="339"/>
      <c r="P776" s="339"/>
      <c r="AF776" s="568"/>
    </row>
    <row r="777" spans="3:32" s="562" customFormat="1" ht="30" customHeight="1" x14ac:dyDescent="0.2">
      <c r="C777" s="339"/>
      <c r="H777" s="339"/>
      <c r="K777" s="567"/>
      <c r="L777" s="567"/>
      <c r="M777" s="609"/>
      <c r="N777" s="339"/>
      <c r="P777" s="339"/>
      <c r="AF777" s="568"/>
    </row>
    <row r="778" spans="3:32" s="562" customFormat="1" ht="30" customHeight="1" x14ac:dyDescent="0.2">
      <c r="C778" s="339"/>
      <c r="H778" s="339"/>
      <c r="K778" s="567"/>
      <c r="L778" s="567"/>
      <c r="M778" s="609"/>
      <c r="N778" s="339"/>
      <c r="P778" s="339"/>
      <c r="AF778" s="568"/>
    </row>
    <row r="779" spans="3:32" s="562" customFormat="1" ht="30" customHeight="1" x14ac:dyDescent="0.2">
      <c r="C779" s="339"/>
      <c r="H779" s="339"/>
      <c r="K779" s="567"/>
      <c r="L779" s="567"/>
      <c r="M779" s="609"/>
      <c r="N779" s="339"/>
      <c r="P779" s="339"/>
      <c r="AF779" s="568"/>
    </row>
    <row r="780" spans="3:32" s="562" customFormat="1" ht="30" customHeight="1" x14ac:dyDescent="0.2">
      <c r="C780" s="339"/>
      <c r="H780" s="339"/>
      <c r="K780" s="567"/>
      <c r="L780" s="567"/>
      <c r="M780" s="609"/>
      <c r="N780" s="339"/>
      <c r="P780" s="339"/>
      <c r="AF780" s="568"/>
    </row>
    <row r="781" spans="3:32" s="562" customFormat="1" ht="30" customHeight="1" x14ac:dyDescent="0.2">
      <c r="C781" s="339"/>
      <c r="H781" s="339"/>
      <c r="K781" s="567"/>
      <c r="L781" s="567"/>
      <c r="M781" s="609"/>
      <c r="N781" s="339"/>
      <c r="P781" s="339"/>
      <c r="AF781" s="568"/>
    </row>
    <row r="782" spans="3:32" s="562" customFormat="1" ht="30" customHeight="1" x14ac:dyDescent="0.2">
      <c r="C782" s="339"/>
      <c r="H782" s="339"/>
      <c r="K782" s="567"/>
      <c r="L782" s="567"/>
      <c r="M782" s="609"/>
      <c r="N782" s="339"/>
      <c r="P782" s="339"/>
      <c r="AF782" s="568"/>
    </row>
    <row r="783" spans="3:32" s="562" customFormat="1" ht="30" customHeight="1" x14ac:dyDescent="0.2">
      <c r="C783" s="339"/>
      <c r="H783" s="339"/>
      <c r="K783" s="567"/>
      <c r="L783" s="567"/>
      <c r="M783" s="609"/>
      <c r="N783" s="339"/>
      <c r="P783" s="339"/>
      <c r="AF783" s="568"/>
    </row>
    <row r="784" spans="3:32" s="562" customFormat="1" ht="30" customHeight="1" x14ac:dyDescent="0.2">
      <c r="C784" s="339"/>
      <c r="H784" s="339"/>
      <c r="K784" s="567"/>
      <c r="L784" s="567"/>
      <c r="M784" s="609"/>
      <c r="N784" s="339"/>
      <c r="P784" s="339"/>
      <c r="AF784" s="568"/>
    </row>
    <row r="785" spans="3:32" s="562" customFormat="1" ht="30" customHeight="1" x14ac:dyDescent="0.2">
      <c r="C785" s="339"/>
      <c r="H785" s="339"/>
      <c r="K785" s="567"/>
      <c r="L785" s="567"/>
      <c r="M785" s="609"/>
      <c r="N785" s="339"/>
      <c r="P785" s="339"/>
      <c r="AF785" s="568"/>
    </row>
    <row r="786" spans="3:32" s="562" customFormat="1" ht="30" customHeight="1" x14ac:dyDescent="0.2">
      <c r="C786" s="339"/>
      <c r="H786" s="339"/>
      <c r="K786" s="567"/>
      <c r="L786" s="567"/>
      <c r="M786" s="609"/>
      <c r="N786" s="339"/>
      <c r="P786" s="339"/>
      <c r="AF786" s="568"/>
    </row>
    <row r="787" spans="3:32" s="562" customFormat="1" ht="30" customHeight="1" x14ac:dyDescent="0.2">
      <c r="C787" s="339"/>
      <c r="H787" s="339"/>
      <c r="K787" s="567"/>
      <c r="L787" s="567"/>
      <c r="M787" s="609"/>
      <c r="N787" s="339"/>
      <c r="P787" s="339"/>
      <c r="AF787" s="568"/>
    </row>
    <row r="788" spans="3:32" s="562" customFormat="1" ht="30" customHeight="1" x14ac:dyDescent="0.2">
      <c r="C788" s="339"/>
      <c r="H788" s="339"/>
      <c r="K788" s="567"/>
      <c r="L788" s="567"/>
      <c r="M788" s="609"/>
      <c r="N788" s="339"/>
      <c r="P788" s="339"/>
      <c r="AF788" s="568"/>
    </row>
    <row r="789" spans="3:32" s="562" customFormat="1" ht="30" customHeight="1" x14ac:dyDescent="0.2">
      <c r="C789" s="339"/>
      <c r="H789" s="339"/>
      <c r="K789" s="567"/>
      <c r="L789" s="567"/>
      <c r="M789" s="609"/>
      <c r="N789" s="339"/>
      <c r="P789" s="339"/>
      <c r="AF789" s="568"/>
    </row>
    <row r="790" spans="3:32" s="562" customFormat="1" ht="30" customHeight="1" x14ac:dyDescent="0.2">
      <c r="C790" s="339"/>
      <c r="H790" s="339"/>
      <c r="M790" s="609"/>
      <c r="N790" s="339"/>
      <c r="P790" s="339"/>
      <c r="AF790" s="568"/>
    </row>
    <row r="791" spans="3:32" s="562" customFormat="1" ht="30" customHeight="1" x14ac:dyDescent="0.2">
      <c r="C791" s="339"/>
      <c r="H791" s="339"/>
      <c r="M791" s="609"/>
      <c r="N791" s="339"/>
      <c r="P791" s="339"/>
      <c r="AF791" s="568"/>
    </row>
    <row r="792" spans="3:32" s="562" customFormat="1" ht="30" customHeight="1" x14ac:dyDescent="0.2">
      <c r="C792" s="339"/>
      <c r="H792" s="339"/>
      <c r="M792" s="609"/>
      <c r="N792" s="339"/>
      <c r="P792" s="339"/>
      <c r="AF792" s="568"/>
    </row>
    <row r="793" spans="3:32" s="562" customFormat="1" ht="30" customHeight="1" x14ac:dyDescent="0.2">
      <c r="C793" s="339"/>
      <c r="H793" s="339"/>
      <c r="M793" s="609"/>
      <c r="N793" s="339"/>
      <c r="P793" s="339"/>
      <c r="AF793" s="568"/>
    </row>
    <row r="794" spans="3:32" s="562" customFormat="1" ht="30" customHeight="1" x14ac:dyDescent="0.2">
      <c r="C794" s="339"/>
      <c r="H794" s="339"/>
      <c r="M794" s="609"/>
      <c r="N794" s="339"/>
      <c r="P794" s="339"/>
      <c r="AF794" s="568"/>
    </row>
    <row r="795" spans="3:32" s="562" customFormat="1" ht="30" customHeight="1" x14ac:dyDescent="0.2">
      <c r="C795" s="339"/>
      <c r="H795" s="339"/>
      <c r="M795" s="609"/>
      <c r="N795" s="339"/>
      <c r="P795" s="339"/>
      <c r="AF795" s="568"/>
    </row>
    <row r="796" spans="3:32" s="562" customFormat="1" ht="30" customHeight="1" x14ac:dyDescent="0.2">
      <c r="C796" s="339"/>
      <c r="H796" s="339"/>
      <c r="M796" s="609"/>
      <c r="N796" s="339"/>
      <c r="P796" s="339"/>
      <c r="AF796" s="568"/>
    </row>
    <row r="797" spans="3:32" s="562" customFormat="1" ht="30" customHeight="1" x14ac:dyDescent="0.2">
      <c r="C797" s="339"/>
      <c r="H797" s="339"/>
      <c r="M797" s="609"/>
      <c r="N797" s="339"/>
      <c r="P797" s="339"/>
      <c r="AF797" s="568"/>
    </row>
    <row r="798" spans="3:32" s="562" customFormat="1" ht="30" customHeight="1" x14ac:dyDescent="0.2">
      <c r="C798" s="339"/>
      <c r="H798" s="339"/>
      <c r="M798" s="609"/>
      <c r="N798" s="339"/>
      <c r="P798" s="339"/>
      <c r="AF798" s="568"/>
    </row>
    <row r="799" spans="3:32" s="562" customFormat="1" ht="30" customHeight="1" x14ac:dyDescent="0.2">
      <c r="C799" s="339"/>
      <c r="H799" s="339"/>
      <c r="M799" s="609"/>
      <c r="N799" s="339"/>
      <c r="P799" s="339"/>
      <c r="AF799" s="568"/>
    </row>
    <row r="800" spans="3:32" s="562" customFormat="1" ht="30" customHeight="1" x14ac:dyDescent="0.2">
      <c r="C800" s="339"/>
      <c r="H800" s="339"/>
      <c r="M800" s="609"/>
      <c r="N800" s="339"/>
      <c r="P800" s="339"/>
      <c r="AF800" s="568"/>
    </row>
    <row r="801" spans="3:32" s="562" customFormat="1" ht="30" customHeight="1" x14ac:dyDescent="0.2">
      <c r="C801" s="339"/>
      <c r="H801" s="339"/>
      <c r="M801" s="609"/>
      <c r="N801" s="339"/>
      <c r="P801" s="339"/>
      <c r="AF801" s="568"/>
    </row>
    <row r="802" spans="3:32" s="562" customFormat="1" ht="30" customHeight="1" x14ac:dyDescent="0.2">
      <c r="C802" s="339"/>
      <c r="H802" s="339"/>
      <c r="M802" s="609"/>
      <c r="N802" s="339"/>
      <c r="P802" s="339"/>
      <c r="AF802" s="568"/>
    </row>
    <row r="803" spans="3:32" s="562" customFormat="1" ht="30" customHeight="1" x14ac:dyDescent="0.2">
      <c r="C803" s="339"/>
      <c r="H803" s="339"/>
      <c r="M803" s="609"/>
      <c r="N803" s="339"/>
      <c r="P803" s="339"/>
      <c r="AF803" s="568"/>
    </row>
    <row r="804" spans="3:32" s="562" customFormat="1" ht="30" customHeight="1" x14ac:dyDescent="0.2">
      <c r="C804" s="339"/>
      <c r="H804" s="339"/>
      <c r="M804" s="609"/>
      <c r="N804" s="339"/>
      <c r="P804" s="339"/>
      <c r="AF804" s="568"/>
    </row>
    <row r="805" spans="3:32" s="562" customFormat="1" ht="30" customHeight="1" x14ac:dyDescent="0.2">
      <c r="C805" s="339"/>
      <c r="H805" s="339"/>
      <c r="M805" s="609"/>
      <c r="N805" s="339"/>
      <c r="P805" s="339"/>
      <c r="AF805" s="568"/>
    </row>
    <row r="806" spans="3:32" s="562" customFormat="1" ht="30" customHeight="1" x14ac:dyDescent="0.2">
      <c r="C806" s="339"/>
      <c r="H806" s="339"/>
      <c r="M806" s="609"/>
      <c r="N806" s="339"/>
      <c r="P806" s="339"/>
      <c r="AF806" s="568"/>
    </row>
    <row r="807" spans="3:32" s="562" customFormat="1" ht="30" customHeight="1" x14ac:dyDescent="0.2">
      <c r="C807" s="339"/>
      <c r="H807" s="339"/>
      <c r="M807" s="609"/>
      <c r="N807" s="339"/>
      <c r="P807" s="339"/>
      <c r="AF807" s="568"/>
    </row>
    <row r="808" spans="3:32" s="562" customFormat="1" ht="30" customHeight="1" x14ac:dyDescent="0.2">
      <c r="C808" s="339"/>
      <c r="H808" s="339"/>
      <c r="M808" s="609"/>
      <c r="N808" s="339"/>
      <c r="P808" s="339"/>
      <c r="AF808" s="568"/>
    </row>
    <row r="809" spans="3:32" s="562" customFormat="1" ht="30" customHeight="1" x14ac:dyDescent="0.2">
      <c r="C809" s="339"/>
      <c r="H809" s="339"/>
      <c r="M809" s="609"/>
      <c r="N809" s="339"/>
      <c r="P809" s="339"/>
      <c r="AF809" s="568"/>
    </row>
    <row r="810" spans="3:32" s="562" customFormat="1" ht="30" customHeight="1" x14ac:dyDescent="0.2">
      <c r="C810" s="339"/>
      <c r="H810" s="339"/>
      <c r="M810" s="609"/>
      <c r="N810" s="339"/>
      <c r="P810" s="339"/>
      <c r="AF810" s="568"/>
    </row>
    <row r="811" spans="3:32" s="562" customFormat="1" ht="30" customHeight="1" x14ac:dyDescent="0.2">
      <c r="C811" s="339"/>
      <c r="H811" s="339"/>
      <c r="M811" s="609"/>
      <c r="N811" s="339"/>
      <c r="P811" s="339"/>
      <c r="AF811" s="568"/>
    </row>
    <row r="812" spans="3:32" s="562" customFormat="1" ht="30" customHeight="1" x14ac:dyDescent="0.2">
      <c r="C812" s="339"/>
      <c r="H812" s="339"/>
      <c r="M812" s="609"/>
      <c r="N812" s="339"/>
      <c r="P812" s="339"/>
      <c r="AF812" s="568"/>
    </row>
    <row r="813" spans="3:32" s="562" customFormat="1" ht="30" customHeight="1" x14ac:dyDescent="0.2">
      <c r="C813" s="339"/>
      <c r="H813" s="339"/>
      <c r="M813" s="609"/>
      <c r="N813" s="339"/>
      <c r="P813" s="339"/>
      <c r="AF813" s="568"/>
    </row>
    <row r="814" spans="3:32" s="562" customFormat="1" ht="30" customHeight="1" x14ac:dyDescent="0.2">
      <c r="C814" s="339"/>
      <c r="H814" s="339"/>
      <c r="M814" s="609"/>
      <c r="N814" s="339"/>
      <c r="P814" s="339"/>
      <c r="AF814" s="568"/>
    </row>
    <row r="815" spans="3:32" s="562" customFormat="1" ht="30" customHeight="1" x14ac:dyDescent="0.2">
      <c r="C815" s="339"/>
      <c r="H815" s="339"/>
      <c r="M815" s="609"/>
      <c r="N815" s="339"/>
      <c r="P815" s="339"/>
      <c r="AF815" s="568"/>
    </row>
    <row r="816" spans="3:32" s="562" customFormat="1" ht="30" customHeight="1" x14ac:dyDescent="0.2">
      <c r="C816" s="339"/>
      <c r="H816" s="339"/>
      <c r="M816" s="609"/>
      <c r="N816" s="339"/>
      <c r="P816" s="339"/>
      <c r="AF816" s="568"/>
    </row>
    <row r="817" spans="3:32" s="562" customFormat="1" ht="30" customHeight="1" x14ac:dyDescent="0.2">
      <c r="C817" s="339"/>
      <c r="H817" s="339"/>
      <c r="M817" s="609"/>
      <c r="N817" s="339"/>
      <c r="P817" s="339"/>
      <c r="AF817" s="568"/>
    </row>
    <row r="818" spans="3:32" s="562" customFormat="1" ht="30" customHeight="1" x14ac:dyDescent="0.2">
      <c r="C818" s="339"/>
      <c r="H818" s="339"/>
      <c r="M818" s="609"/>
      <c r="N818" s="339"/>
      <c r="P818" s="339"/>
      <c r="AF818" s="568"/>
    </row>
    <row r="819" spans="3:32" s="562" customFormat="1" ht="30" customHeight="1" x14ac:dyDescent="0.2">
      <c r="C819" s="339"/>
      <c r="H819" s="339"/>
      <c r="M819" s="609"/>
      <c r="N819" s="339"/>
      <c r="P819" s="339"/>
      <c r="AF819" s="568"/>
    </row>
    <row r="820" spans="3:32" s="562" customFormat="1" ht="30" customHeight="1" x14ac:dyDescent="0.2">
      <c r="C820" s="339"/>
      <c r="H820" s="339"/>
      <c r="M820" s="609"/>
      <c r="N820" s="339"/>
      <c r="P820" s="339"/>
      <c r="AF820" s="568"/>
    </row>
    <row r="821" spans="3:32" s="562" customFormat="1" ht="30" customHeight="1" x14ac:dyDescent="0.2">
      <c r="C821" s="339"/>
      <c r="H821" s="339"/>
      <c r="M821" s="609"/>
      <c r="N821" s="339"/>
      <c r="P821" s="339"/>
      <c r="AF821" s="568"/>
    </row>
    <row r="822" spans="3:32" s="562" customFormat="1" ht="30" customHeight="1" x14ac:dyDescent="0.2">
      <c r="C822" s="339"/>
      <c r="H822" s="339"/>
      <c r="M822" s="609"/>
      <c r="N822" s="339"/>
      <c r="P822" s="339"/>
      <c r="AF822" s="568"/>
    </row>
    <row r="823" spans="3:32" s="562" customFormat="1" ht="30" customHeight="1" x14ac:dyDescent="0.2">
      <c r="C823" s="339"/>
      <c r="H823" s="339"/>
      <c r="M823" s="609"/>
      <c r="N823" s="339"/>
      <c r="P823" s="339"/>
      <c r="AF823" s="568"/>
    </row>
    <row r="824" spans="3:32" s="562" customFormat="1" ht="30" customHeight="1" x14ac:dyDescent="0.2">
      <c r="C824" s="339"/>
      <c r="H824" s="339"/>
      <c r="M824" s="609"/>
      <c r="N824" s="339"/>
      <c r="P824" s="339"/>
      <c r="AF824" s="568"/>
    </row>
    <row r="825" spans="3:32" s="562" customFormat="1" ht="30" customHeight="1" x14ac:dyDescent="0.2">
      <c r="C825" s="339"/>
      <c r="H825" s="339"/>
      <c r="M825" s="609"/>
      <c r="N825" s="339"/>
      <c r="P825" s="339"/>
      <c r="AF825" s="568"/>
    </row>
    <row r="826" spans="3:32" s="562" customFormat="1" ht="30" customHeight="1" x14ac:dyDescent="0.2">
      <c r="C826" s="339"/>
      <c r="H826" s="339"/>
      <c r="M826" s="609"/>
      <c r="N826" s="339"/>
      <c r="P826" s="339"/>
      <c r="AF826" s="568"/>
    </row>
    <row r="827" spans="3:32" s="562" customFormat="1" ht="30" customHeight="1" x14ac:dyDescent="0.2">
      <c r="C827" s="339"/>
      <c r="H827" s="339"/>
      <c r="M827" s="609"/>
      <c r="N827" s="339"/>
      <c r="P827" s="339"/>
      <c r="AF827" s="568"/>
    </row>
    <row r="828" spans="3:32" s="562" customFormat="1" ht="30" customHeight="1" x14ac:dyDescent="0.2">
      <c r="C828" s="339"/>
      <c r="H828" s="339"/>
      <c r="M828" s="609"/>
      <c r="N828" s="339"/>
      <c r="P828" s="339"/>
      <c r="AF828" s="568"/>
    </row>
    <row r="829" spans="3:32" s="562" customFormat="1" ht="30" customHeight="1" x14ac:dyDescent="0.2">
      <c r="C829" s="339"/>
      <c r="H829" s="339"/>
      <c r="M829" s="609"/>
      <c r="N829" s="339"/>
      <c r="P829" s="339"/>
      <c r="AF829" s="568"/>
    </row>
    <row r="830" spans="3:32" s="562" customFormat="1" ht="30" customHeight="1" x14ac:dyDescent="0.2">
      <c r="C830" s="339"/>
      <c r="H830" s="339"/>
      <c r="M830" s="609"/>
      <c r="N830" s="339"/>
      <c r="P830" s="339"/>
      <c r="AF830" s="568"/>
    </row>
    <row r="831" spans="3:32" s="562" customFormat="1" ht="30" customHeight="1" x14ac:dyDescent="0.2">
      <c r="C831" s="339"/>
      <c r="H831" s="339"/>
      <c r="M831" s="609"/>
      <c r="N831" s="339"/>
      <c r="P831" s="339"/>
      <c r="AF831" s="568"/>
    </row>
    <row r="832" spans="3:32" s="562" customFormat="1" ht="30" customHeight="1" x14ac:dyDescent="0.2">
      <c r="C832" s="339"/>
      <c r="H832" s="339"/>
      <c r="M832" s="609"/>
      <c r="N832" s="339"/>
      <c r="P832" s="339"/>
      <c r="AF832" s="568"/>
    </row>
    <row r="833" spans="3:32" s="562" customFormat="1" ht="30" customHeight="1" x14ac:dyDescent="0.2">
      <c r="C833" s="339"/>
      <c r="H833" s="339"/>
      <c r="M833" s="609"/>
      <c r="N833" s="339"/>
      <c r="P833" s="339"/>
      <c r="AF833" s="568"/>
    </row>
    <row r="834" spans="3:32" s="562" customFormat="1" ht="30" customHeight="1" x14ac:dyDescent="0.2">
      <c r="C834" s="339"/>
      <c r="H834" s="339"/>
      <c r="M834" s="609"/>
      <c r="N834" s="339"/>
      <c r="P834" s="339"/>
      <c r="AF834" s="568"/>
    </row>
    <row r="835" spans="3:32" s="562" customFormat="1" ht="30" customHeight="1" x14ac:dyDescent="0.2">
      <c r="C835" s="339"/>
      <c r="H835" s="339"/>
      <c r="M835" s="609"/>
      <c r="N835" s="339"/>
      <c r="P835" s="339"/>
      <c r="AF835" s="568"/>
    </row>
    <row r="836" spans="3:32" s="562" customFormat="1" ht="30" customHeight="1" x14ac:dyDescent="0.2">
      <c r="C836" s="339"/>
      <c r="H836" s="339"/>
      <c r="M836" s="609"/>
      <c r="N836" s="339"/>
      <c r="P836" s="339"/>
      <c r="AF836" s="568"/>
    </row>
    <row r="837" spans="3:32" s="562" customFormat="1" ht="30" customHeight="1" x14ac:dyDescent="0.2">
      <c r="C837" s="339"/>
      <c r="H837" s="339"/>
      <c r="M837" s="609"/>
      <c r="N837" s="339"/>
      <c r="P837" s="339"/>
      <c r="AF837" s="568"/>
    </row>
    <row r="838" spans="3:32" s="562" customFormat="1" ht="30" customHeight="1" x14ac:dyDescent="0.2">
      <c r="C838" s="339"/>
      <c r="H838" s="339"/>
      <c r="M838" s="609"/>
      <c r="N838" s="339"/>
      <c r="P838" s="339"/>
      <c r="AF838" s="568"/>
    </row>
    <row r="839" spans="3:32" s="562" customFormat="1" ht="30" customHeight="1" x14ac:dyDescent="0.2">
      <c r="C839" s="339"/>
      <c r="H839" s="339"/>
      <c r="M839" s="609"/>
      <c r="N839" s="339"/>
      <c r="P839" s="339"/>
      <c r="AF839" s="568"/>
    </row>
    <row r="840" spans="3:32" s="562" customFormat="1" ht="30" customHeight="1" x14ac:dyDescent="0.2">
      <c r="C840" s="339"/>
      <c r="H840" s="339"/>
      <c r="M840" s="609"/>
      <c r="N840" s="339"/>
      <c r="P840" s="339"/>
      <c r="AF840" s="568"/>
    </row>
    <row r="841" spans="3:32" s="562" customFormat="1" ht="30" customHeight="1" x14ac:dyDescent="0.2">
      <c r="C841" s="339"/>
      <c r="H841" s="339"/>
      <c r="M841" s="609"/>
      <c r="N841" s="339"/>
      <c r="P841" s="339"/>
      <c r="AF841" s="568"/>
    </row>
    <row r="842" spans="3:32" s="562" customFormat="1" ht="30" customHeight="1" x14ac:dyDescent="0.2">
      <c r="C842" s="339"/>
      <c r="H842" s="339"/>
      <c r="M842" s="609"/>
      <c r="N842" s="339"/>
      <c r="P842" s="339"/>
      <c r="AF842" s="568"/>
    </row>
    <row r="843" spans="3:32" s="562" customFormat="1" ht="30" customHeight="1" x14ac:dyDescent="0.2">
      <c r="C843" s="339"/>
      <c r="H843" s="339"/>
      <c r="M843" s="609"/>
      <c r="N843" s="339"/>
      <c r="P843" s="339"/>
      <c r="AF843" s="568"/>
    </row>
    <row r="844" spans="3:32" s="562" customFormat="1" ht="30" customHeight="1" x14ac:dyDescent="0.2">
      <c r="C844" s="339"/>
      <c r="H844" s="339"/>
      <c r="M844" s="609"/>
      <c r="N844" s="339"/>
      <c r="P844" s="339"/>
      <c r="AF844" s="568"/>
    </row>
    <row r="845" spans="3:32" s="562" customFormat="1" ht="30" customHeight="1" x14ac:dyDescent="0.2">
      <c r="C845" s="339"/>
      <c r="H845" s="339"/>
      <c r="M845" s="609"/>
      <c r="N845" s="339"/>
      <c r="P845" s="339"/>
      <c r="AF845" s="568"/>
    </row>
    <row r="846" spans="3:32" s="562" customFormat="1" ht="30" customHeight="1" x14ac:dyDescent="0.2">
      <c r="C846" s="339"/>
      <c r="H846" s="339"/>
      <c r="M846" s="609"/>
      <c r="N846" s="339"/>
      <c r="P846" s="339"/>
      <c r="AF846" s="568"/>
    </row>
    <row r="847" spans="3:32" s="562" customFormat="1" ht="30" customHeight="1" x14ac:dyDescent="0.2">
      <c r="C847" s="339"/>
      <c r="H847" s="339"/>
      <c r="M847" s="609"/>
      <c r="N847" s="339"/>
      <c r="P847" s="339"/>
      <c r="AF847" s="568"/>
    </row>
    <row r="848" spans="3:32" s="562" customFormat="1" ht="30" customHeight="1" x14ac:dyDescent="0.2">
      <c r="C848" s="339"/>
      <c r="H848" s="339"/>
      <c r="M848" s="609"/>
      <c r="N848" s="339"/>
      <c r="P848" s="339"/>
      <c r="AF848" s="568"/>
    </row>
    <row r="849" spans="3:32" s="562" customFormat="1" ht="30" customHeight="1" x14ac:dyDescent="0.2">
      <c r="C849" s="339"/>
      <c r="H849" s="339"/>
      <c r="M849" s="609"/>
      <c r="N849" s="339"/>
      <c r="P849" s="339"/>
      <c r="AF849" s="568"/>
    </row>
    <row r="850" spans="3:32" s="562" customFormat="1" ht="30" customHeight="1" x14ac:dyDescent="0.2">
      <c r="C850" s="339"/>
      <c r="H850" s="339"/>
      <c r="M850" s="609"/>
      <c r="N850" s="339"/>
      <c r="P850" s="339"/>
      <c r="AF850" s="568"/>
    </row>
    <row r="851" spans="3:32" s="562" customFormat="1" ht="30" customHeight="1" x14ac:dyDescent="0.2">
      <c r="C851" s="339"/>
      <c r="H851" s="339"/>
      <c r="M851" s="609"/>
      <c r="N851" s="339"/>
      <c r="P851" s="339"/>
      <c r="AF851" s="568"/>
    </row>
    <row r="852" spans="3:32" s="562" customFormat="1" ht="30" customHeight="1" x14ac:dyDescent="0.2">
      <c r="C852" s="339"/>
      <c r="H852" s="339"/>
      <c r="M852" s="609"/>
      <c r="N852" s="339"/>
      <c r="P852" s="339"/>
      <c r="AF852" s="568"/>
    </row>
    <row r="853" spans="3:32" s="562" customFormat="1" ht="30" customHeight="1" x14ac:dyDescent="0.2">
      <c r="C853" s="339"/>
      <c r="H853" s="339"/>
      <c r="M853" s="609"/>
      <c r="N853" s="339"/>
      <c r="P853" s="339"/>
      <c r="AF853" s="568"/>
    </row>
    <row r="854" spans="3:32" s="562" customFormat="1" ht="30" customHeight="1" x14ac:dyDescent="0.2">
      <c r="C854" s="339"/>
      <c r="H854" s="339"/>
      <c r="M854" s="609"/>
      <c r="N854" s="339"/>
      <c r="P854" s="339"/>
      <c r="AF854" s="568"/>
    </row>
    <row r="855" spans="3:32" s="562" customFormat="1" ht="30" customHeight="1" x14ac:dyDescent="0.2">
      <c r="C855" s="339"/>
      <c r="H855" s="339"/>
      <c r="M855" s="609"/>
      <c r="N855" s="339"/>
      <c r="P855" s="339"/>
      <c r="AF855" s="568"/>
    </row>
    <row r="856" spans="3:32" s="562" customFormat="1" ht="30" customHeight="1" x14ac:dyDescent="0.2">
      <c r="C856" s="339"/>
      <c r="H856" s="339"/>
      <c r="M856" s="609"/>
      <c r="N856" s="339"/>
      <c r="P856" s="339"/>
      <c r="AF856" s="568"/>
    </row>
    <row r="857" spans="3:32" s="562" customFormat="1" ht="30" customHeight="1" x14ac:dyDescent="0.2">
      <c r="C857" s="339"/>
      <c r="H857" s="339"/>
      <c r="M857" s="609"/>
      <c r="N857" s="339"/>
      <c r="P857" s="339"/>
      <c r="AF857" s="568"/>
    </row>
    <row r="858" spans="3:32" s="562" customFormat="1" ht="30" customHeight="1" x14ac:dyDescent="0.2">
      <c r="C858" s="339"/>
      <c r="H858" s="339"/>
      <c r="M858" s="609"/>
      <c r="N858" s="339"/>
      <c r="P858" s="339"/>
      <c r="AF858" s="568"/>
    </row>
    <row r="859" spans="3:32" s="562" customFormat="1" ht="30" customHeight="1" x14ac:dyDescent="0.2">
      <c r="C859" s="339"/>
      <c r="H859" s="339"/>
      <c r="M859" s="609"/>
      <c r="N859" s="339"/>
      <c r="P859" s="339"/>
      <c r="AF859" s="568"/>
    </row>
    <row r="860" spans="3:32" s="562" customFormat="1" ht="30" customHeight="1" x14ac:dyDescent="0.2">
      <c r="C860" s="339"/>
      <c r="H860" s="339"/>
      <c r="M860" s="609"/>
      <c r="N860" s="339"/>
      <c r="P860" s="339"/>
      <c r="AF860" s="568"/>
    </row>
    <row r="861" spans="3:32" s="562" customFormat="1" ht="30" customHeight="1" x14ac:dyDescent="0.2">
      <c r="C861" s="339"/>
      <c r="H861" s="339"/>
      <c r="M861" s="609"/>
      <c r="N861" s="339"/>
      <c r="P861" s="339"/>
      <c r="AF861" s="568"/>
    </row>
    <row r="862" spans="3:32" s="562" customFormat="1" ht="30" customHeight="1" x14ac:dyDescent="0.2">
      <c r="C862" s="339"/>
      <c r="H862" s="339"/>
      <c r="M862" s="609"/>
      <c r="N862" s="339"/>
      <c r="P862" s="339"/>
      <c r="AF862" s="568"/>
    </row>
    <row r="863" spans="3:32" s="562" customFormat="1" ht="30" customHeight="1" x14ac:dyDescent="0.2">
      <c r="C863" s="339"/>
      <c r="H863" s="339"/>
      <c r="M863" s="609"/>
      <c r="N863" s="339"/>
      <c r="P863" s="339"/>
      <c r="AF863" s="568"/>
    </row>
    <row r="864" spans="3:32" s="562" customFormat="1" ht="30" customHeight="1" x14ac:dyDescent="0.2">
      <c r="C864" s="339"/>
      <c r="H864" s="339"/>
      <c r="M864" s="609"/>
      <c r="N864" s="339"/>
      <c r="P864" s="339"/>
      <c r="AF864" s="568"/>
    </row>
    <row r="865" spans="3:32" s="562" customFormat="1" ht="30" customHeight="1" x14ac:dyDescent="0.2">
      <c r="C865" s="339"/>
      <c r="H865" s="339"/>
      <c r="M865" s="609"/>
      <c r="N865" s="339"/>
      <c r="P865" s="339"/>
      <c r="AF865" s="568"/>
    </row>
    <row r="866" spans="3:32" s="562" customFormat="1" ht="30" customHeight="1" x14ac:dyDescent="0.2">
      <c r="C866" s="339"/>
      <c r="H866" s="339"/>
      <c r="M866" s="609"/>
      <c r="N866" s="339"/>
      <c r="P866" s="339"/>
      <c r="AF866" s="568"/>
    </row>
    <row r="867" spans="3:32" s="562" customFormat="1" ht="30" customHeight="1" x14ac:dyDescent="0.2">
      <c r="C867" s="339"/>
      <c r="H867" s="339"/>
      <c r="M867" s="609"/>
      <c r="N867" s="339"/>
      <c r="P867" s="339"/>
      <c r="AF867" s="568"/>
    </row>
    <row r="868" spans="3:32" s="562" customFormat="1" ht="30" customHeight="1" x14ac:dyDescent="0.2">
      <c r="C868" s="339"/>
      <c r="H868" s="339"/>
      <c r="M868" s="609"/>
      <c r="N868" s="339"/>
      <c r="P868" s="339"/>
      <c r="AF868" s="568"/>
    </row>
    <row r="869" spans="3:32" s="562" customFormat="1" ht="30" customHeight="1" x14ac:dyDescent="0.2">
      <c r="C869" s="339"/>
      <c r="H869" s="339"/>
      <c r="M869" s="609"/>
      <c r="N869" s="339"/>
      <c r="P869" s="339"/>
      <c r="AF869" s="568"/>
    </row>
    <row r="870" spans="3:32" s="562" customFormat="1" ht="30" customHeight="1" x14ac:dyDescent="0.2">
      <c r="C870" s="339"/>
      <c r="H870" s="339"/>
      <c r="M870" s="609"/>
      <c r="N870" s="339"/>
      <c r="P870" s="339"/>
      <c r="AF870" s="568"/>
    </row>
    <row r="871" spans="3:32" s="562" customFormat="1" ht="30" customHeight="1" x14ac:dyDescent="0.2">
      <c r="C871" s="339"/>
      <c r="H871" s="339"/>
      <c r="M871" s="609"/>
      <c r="N871" s="339"/>
      <c r="P871" s="339"/>
      <c r="AF871" s="568"/>
    </row>
    <row r="872" spans="3:32" s="562" customFormat="1" ht="30" customHeight="1" x14ac:dyDescent="0.2">
      <c r="C872" s="339"/>
      <c r="H872" s="339"/>
      <c r="M872" s="609"/>
      <c r="N872" s="339"/>
      <c r="P872" s="339"/>
      <c r="AF872" s="568"/>
    </row>
    <row r="873" spans="3:32" s="562" customFormat="1" ht="30" customHeight="1" x14ac:dyDescent="0.2">
      <c r="C873" s="339"/>
      <c r="H873" s="339"/>
      <c r="M873" s="609"/>
      <c r="N873" s="339"/>
      <c r="P873" s="339"/>
      <c r="AF873" s="568"/>
    </row>
    <row r="874" spans="3:32" s="562" customFormat="1" ht="30" customHeight="1" x14ac:dyDescent="0.2">
      <c r="C874" s="339"/>
      <c r="H874" s="339"/>
      <c r="M874" s="609"/>
      <c r="N874" s="339"/>
      <c r="P874" s="339"/>
      <c r="AF874" s="568"/>
    </row>
    <row r="875" spans="3:32" s="562" customFormat="1" ht="30" customHeight="1" x14ac:dyDescent="0.2">
      <c r="C875" s="339"/>
      <c r="H875" s="339"/>
      <c r="M875" s="609"/>
      <c r="N875" s="339"/>
      <c r="P875" s="339"/>
      <c r="AF875" s="568"/>
    </row>
    <row r="876" spans="3:32" s="562" customFormat="1" ht="30" customHeight="1" x14ac:dyDescent="0.2">
      <c r="C876" s="339"/>
      <c r="H876" s="339"/>
      <c r="M876" s="609"/>
      <c r="N876" s="339"/>
      <c r="P876" s="339"/>
      <c r="AF876" s="568"/>
    </row>
    <row r="877" spans="3:32" s="562" customFormat="1" ht="30" customHeight="1" x14ac:dyDescent="0.2">
      <c r="C877" s="339"/>
      <c r="H877" s="339"/>
      <c r="M877" s="609"/>
      <c r="N877" s="339"/>
      <c r="P877" s="339"/>
      <c r="AF877" s="568"/>
    </row>
    <row r="878" spans="3:32" s="562" customFormat="1" ht="30" customHeight="1" x14ac:dyDescent="0.2">
      <c r="C878" s="339"/>
      <c r="H878" s="339"/>
      <c r="M878" s="609"/>
      <c r="N878" s="339"/>
      <c r="P878" s="339"/>
      <c r="AF878" s="568"/>
    </row>
    <row r="879" spans="3:32" s="562" customFormat="1" ht="30" customHeight="1" x14ac:dyDescent="0.2">
      <c r="C879" s="339"/>
      <c r="H879" s="339"/>
      <c r="M879" s="609"/>
      <c r="N879" s="339"/>
      <c r="P879" s="339"/>
      <c r="AF879" s="568"/>
    </row>
    <row r="880" spans="3:32" s="562" customFormat="1" ht="30" customHeight="1" x14ac:dyDescent="0.2">
      <c r="C880" s="339"/>
      <c r="H880" s="339"/>
      <c r="M880" s="609"/>
      <c r="N880" s="339"/>
      <c r="P880" s="339"/>
      <c r="AF880" s="568"/>
    </row>
    <row r="881" spans="3:32" s="562" customFormat="1" ht="30" customHeight="1" x14ac:dyDescent="0.2">
      <c r="C881" s="339"/>
      <c r="H881" s="339"/>
      <c r="M881" s="609"/>
      <c r="N881" s="339"/>
      <c r="P881" s="339"/>
      <c r="AF881" s="568"/>
    </row>
    <row r="882" spans="3:32" s="562" customFormat="1" ht="30" customHeight="1" x14ac:dyDescent="0.2">
      <c r="C882" s="339"/>
      <c r="H882" s="339"/>
      <c r="M882" s="609"/>
      <c r="N882" s="339"/>
      <c r="P882" s="339"/>
      <c r="AF882" s="568"/>
    </row>
    <row r="883" spans="3:32" s="562" customFormat="1" ht="30" customHeight="1" x14ac:dyDescent="0.2">
      <c r="C883" s="339"/>
      <c r="H883" s="339"/>
      <c r="M883" s="609"/>
      <c r="N883" s="339"/>
      <c r="P883" s="339"/>
      <c r="AF883" s="568"/>
    </row>
    <row r="884" spans="3:32" s="562" customFormat="1" ht="30" customHeight="1" x14ac:dyDescent="0.2">
      <c r="C884" s="339"/>
      <c r="H884" s="339"/>
      <c r="M884" s="609"/>
      <c r="N884" s="339"/>
      <c r="P884" s="339"/>
      <c r="AF884" s="568"/>
    </row>
    <row r="885" spans="3:32" s="562" customFormat="1" ht="30" customHeight="1" x14ac:dyDescent="0.2">
      <c r="C885" s="339"/>
      <c r="H885" s="339"/>
      <c r="M885" s="609"/>
      <c r="N885" s="339"/>
      <c r="P885" s="339"/>
      <c r="AF885" s="568"/>
    </row>
    <row r="886" spans="3:32" s="562" customFormat="1" ht="30" customHeight="1" x14ac:dyDescent="0.2">
      <c r="C886" s="339"/>
      <c r="H886" s="339"/>
      <c r="M886" s="609"/>
      <c r="N886" s="339"/>
      <c r="P886" s="339"/>
      <c r="AF886" s="568"/>
    </row>
    <row r="887" spans="3:32" s="562" customFormat="1" ht="30" customHeight="1" x14ac:dyDescent="0.2">
      <c r="C887" s="339"/>
      <c r="H887" s="339"/>
      <c r="M887" s="609"/>
      <c r="N887" s="339"/>
      <c r="P887" s="339"/>
      <c r="AF887" s="568"/>
    </row>
    <row r="888" spans="3:32" s="562" customFormat="1" ht="30" customHeight="1" x14ac:dyDescent="0.2">
      <c r="C888" s="339"/>
      <c r="H888" s="339"/>
      <c r="M888" s="609"/>
      <c r="N888" s="339"/>
      <c r="P888" s="339"/>
      <c r="AF888" s="568"/>
    </row>
    <row r="889" spans="3:32" s="562" customFormat="1" ht="30" customHeight="1" x14ac:dyDescent="0.2">
      <c r="C889" s="339"/>
      <c r="H889" s="339"/>
      <c r="M889" s="609"/>
      <c r="N889" s="339"/>
      <c r="P889" s="339"/>
      <c r="AF889" s="568"/>
    </row>
    <row r="890" spans="3:32" s="562" customFormat="1" ht="30" customHeight="1" x14ac:dyDescent="0.2">
      <c r="C890" s="339"/>
      <c r="H890" s="339"/>
      <c r="M890" s="609"/>
      <c r="N890" s="339"/>
      <c r="P890" s="339"/>
      <c r="AF890" s="568"/>
    </row>
    <row r="891" spans="3:32" s="562" customFormat="1" ht="30" customHeight="1" x14ac:dyDescent="0.2">
      <c r="C891" s="339"/>
      <c r="H891" s="339"/>
      <c r="M891" s="609"/>
      <c r="N891" s="339"/>
      <c r="P891" s="339"/>
      <c r="AF891" s="568"/>
    </row>
    <row r="892" spans="3:32" s="562" customFormat="1" ht="30" customHeight="1" x14ac:dyDescent="0.2">
      <c r="C892" s="339"/>
      <c r="H892" s="339"/>
      <c r="M892" s="609"/>
      <c r="N892" s="339"/>
      <c r="P892" s="339"/>
      <c r="AF892" s="568"/>
    </row>
    <row r="893" spans="3:32" s="562" customFormat="1" ht="30" customHeight="1" x14ac:dyDescent="0.2">
      <c r="C893" s="339"/>
      <c r="H893" s="339"/>
      <c r="M893" s="609"/>
      <c r="N893" s="339"/>
      <c r="P893" s="339"/>
      <c r="AF893" s="568"/>
    </row>
    <row r="894" spans="3:32" s="562" customFormat="1" ht="30" customHeight="1" x14ac:dyDescent="0.2">
      <c r="C894" s="339"/>
      <c r="H894" s="339"/>
      <c r="M894" s="609"/>
      <c r="N894" s="339"/>
      <c r="P894" s="339"/>
      <c r="AF894" s="568"/>
    </row>
    <row r="895" spans="3:32" s="562" customFormat="1" ht="30" customHeight="1" x14ac:dyDescent="0.2">
      <c r="C895" s="339"/>
      <c r="H895" s="339"/>
      <c r="M895" s="609"/>
      <c r="N895" s="339"/>
      <c r="P895" s="339"/>
      <c r="AF895" s="568"/>
    </row>
    <row r="896" spans="3:32" s="562" customFormat="1" ht="30" customHeight="1" x14ac:dyDescent="0.2">
      <c r="C896" s="339"/>
      <c r="H896" s="339"/>
      <c r="M896" s="609"/>
      <c r="N896" s="339"/>
      <c r="P896" s="339"/>
      <c r="AF896" s="568"/>
    </row>
    <row r="897" spans="3:32" s="562" customFormat="1" ht="30" customHeight="1" x14ac:dyDescent="0.2">
      <c r="C897" s="339"/>
      <c r="H897" s="339"/>
      <c r="M897" s="609"/>
      <c r="N897" s="339"/>
      <c r="P897" s="339"/>
      <c r="AF897" s="568"/>
    </row>
    <row r="898" spans="3:32" s="562" customFormat="1" ht="30" customHeight="1" x14ac:dyDescent="0.2">
      <c r="C898" s="339"/>
      <c r="H898" s="339"/>
      <c r="M898" s="609"/>
      <c r="N898" s="339"/>
      <c r="P898" s="339"/>
      <c r="AF898" s="568"/>
    </row>
    <row r="899" spans="3:32" s="562" customFormat="1" ht="30" customHeight="1" x14ac:dyDescent="0.2">
      <c r="C899" s="339"/>
      <c r="H899" s="339"/>
      <c r="M899" s="609"/>
      <c r="N899" s="339"/>
      <c r="P899" s="339"/>
      <c r="AF899" s="568"/>
    </row>
    <row r="900" spans="3:32" s="562" customFormat="1" ht="30" customHeight="1" x14ac:dyDescent="0.2">
      <c r="C900" s="339"/>
      <c r="H900" s="339"/>
      <c r="M900" s="609"/>
      <c r="N900" s="339"/>
      <c r="P900" s="339"/>
      <c r="AF900" s="568"/>
    </row>
    <row r="901" spans="3:32" s="562" customFormat="1" ht="30" customHeight="1" x14ac:dyDescent="0.2">
      <c r="C901" s="339"/>
      <c r="H901" s="339"/>
      <c r="M901" s="609"/>
      <c r="N901" s="339"/>
      <c r="P901" s="339"/>
      <c r="AF901" s="568"/>
    </row>
    <row r="902" spans="3:32" s="562" customFormat="1" ht="30" customHeight="1" x14ac:dyDescent="0.2">
      <c r="C902" s="339"/>
      <c r="H902" s="339"/>
      <c r="M902" s="609"/>
      <c r="N902" s="339"/>
      <c r="P902" s="339"/>
      <c r="AF902" s="568"/>
    </row>
    <row r="903" spans="3:32" s="562" customFormat="1" ht="30" customHeight="1" x14ac:dyDescent="0.2">
      <c r="C903" s="339"/>
      <c r="H903" s="339"/>
      <c r="M903" s="609"/>
      <c r="N903" s="339"/>
      <c r="P903" s="339"/>
      <c r="AF903" s="568"/>
    </row>
    <row r="904" spans="3:32" s="562" customFormat="1" ht="30" customHeight="1" x14ac:dyDescent="0.2">
      <c r="C904" s="339"/>
      <c r="H904" s="339"/>
      <c r="M904" s="609"/>
      <c r="N904" s="339"/>
      <c r="P904" s="339"/>
      <c r="AF904" s="568"/>
    </row>
    <row r="905" spans="3:32" s="562" customFormat="1" ht="30" customHeight="1" x14ac:dyDescent="0.2">
      <c r="C905" s="339"/>
      <c r="H905" s="339"/>
      <c r="M905" s="609"/>
      <c r="N905" s="339"/>
      <c r="P905" s="339"/>
      <c r="AF905" s="568"/>
    </row>
    <row r="906" spans="3:32" s="562" customFormat="1" ht="30" customHeight="1" x14ac:dyDescent="0.2">
      <c r="C906" s="339"/>
      <c r="H906" s="339"/>
      <c r="M906" s="609"/>
      <c r="N906" s="339"/>
      <c r="P906" s="339"/>
      <c r="AF906" s="568"/>
    </row>
    <row r="907" spans="3:32" s="562" customFormat="1" ht="30" customHeight="1" x14ac:dyDescent="0.2">
      <c r="C907" s="339"/>
      <c r="H907" s="339"/>
      <c r="M907" s="609"/>
      <c r="N907" s="339"/>
      <c r="P907" s="339"/>
      <c r="AF907" s="568"/>
    </row>
    <row r="908" spans="3:32" s="562" customFormat="1" ht="30" customHeight="1" x14ac:dyDescent="0.2">
      <c r="C908" s="339"/>
      <c r="H908" s="339"/>
      <c r="M908" s="609"/>
      <c r="N908" s="339"/>
      <c r="P908" s="339"/>
      <c r="AF908" s="568"/>
    </row>
    <row r="909" spans="3:32" s="562" customFormat="1" ht="30" customHeight="1" x14ac:dyDescent="0.2">
      <c r="C909" s="339"/>
      <c r="H909" s="339"/>
      <c r="M909" s="609"/>
      <c r="N909" s="339"/>
      <c r="P909" s="339"/>
      <c r="AF909" s="568"/>
    </row>
    <row r="910" spans="3:32" s="562" customFormat="1" ht="30" customHeight="1" x14ac:dyDescent="0.2">
      <c r="C910" s="339"/>
      <c r="H910" s="339"/>
      <c r="M910" s="609"/>
      <c r="N910" s="339"/>
      <c r="P910" s="339"/>
      <c r="AF910" s="568"/>
    </row>
    <row r="911" spans="3:32" s="562" customFormat="1" ht="30" customHeight="1" x14ac:dyDescent="0.2">
      <c r="C911" s="339"/>
      <c r="H911" s="339"/>
      <c r="M911" s="609"/>
      <c r="N911" s="339"/>
      <c r="P911" s="339"/>
      <c r="AF911" s="568"/>
    </row>
    <row r="912" spans="3:32" s="562" customFormat="1" ht="30" customHeight="1" x14ac:dyDescent="0.2">
      <c r="C912" s="339"/>
      <c r="H912" s="339"/>
      <c r="M912" s="609"/>
      <c r="N912" s="339"/>
      <c r="P912" s="339"/>
      <c r="AF912" s="568"/>
    </row>
    <row r="913" spans="3:32" s="562" customFormat="1" ht="30" customHeight="1" x14ac:dyDescent="0.2">
      <c r="C913" s="339"/>
      <c r="H913" s="339"/>
      <c r="M913" s="609"/>
      <c r="N913" s="339"/>
      <c r="P913" s="339"/>
      <c r="AF913" s="568"/>
    </row>
    <row r="914" spans="3:32" s="562" customFormat="1" ht="30" customHeight="1" x14ac:dyDescent="0.2">
      <c r="C914" s="339"/>
      <c r="H914" s="339"/>
      <c r="M914" s="609"/>
      <c r="N914" s="339"/>
      <c r="P914" s="339"/>
      <c r="AF914" s="568"/>
    </row>
    <row r="915" spans="3:32" s="562" customFormat="1" ht="30" customHeight="1" x14ac:dyDescent="0.2">
      <c r="C915" s="339"/>
      <c r="H915" s="339"/>
      <c r="M915" s="609"/>
      <c r="N915" s="339"/>
      <c r="P915" s="339"/>
      <c r="AF915" s="568"/>
    </row>
    <row r="916" spans="3:32" s="562" customFormat="1" ht="30" customHeight="1" x14ac:dyDescent="0.2">
      <c r="C916" s="339"/>
      <c r="H916" s="339"/>
      <c r="M916" s="609"/>
      <c r="N916" s="339"/>
      <c r="P916" s="339"/>
      <c r="AF916" s="568"/>
    </row>
    <row r="917" spans="3:32" s="562" customFormat="1" ht="30" customHeight="1" x14ac:dyDescent="0.2">
      <c r="C917" s="339"/>
      <c r="H917" s="339"/>
      <c r="M917" s="609"/>
      <c r="N917" s="339"/>
      <c r="P917" s="339"/>
      <c r="AF917" s="568"/>
    </row>
    <row r="918" spans="3:32" s="562" customFormat="1" ht="30" customHeight="1" x14ac:dyDescent="0.2">
      <c r="C918" s="339"/>
      <c r="H918" s="339"/>
      <c r="M918" s="609"/>
      <c r="N918" s="339"/>
      <c r="P918" s="339"/>
      <c r="AF918" s="568"/>
    </row>
    <row r="919" spans="3:32" s="562" customFormat="1" ht="30" customHeight="1" x14ac:dyDescent="0.2">
      <c r="C919" s="339"/>
      <c r="H919" s="339"/>
      <c r="M919" s="609"/>
      <c r="N919" s="339"/>
      <c r="P919" s="339"/>
      <c r="AF919" s="568"/>
    </row>
    <row r="920" spans="3:32" s="562" customFormat="1" ht="30" customHeight="1" x14ac:dyDescent="0.2">
      <c r="C920" s="339"/>
      <c r="H920" s="339"/>
      <c r="M920" s="609"/>
      <c r="N920" s="339"/>
      <c r="P920" s="339"/>
      <c r="AF920" s="568"/>
    </row>
    <row r="921" spans="3:32" s="562" customFormat="1" ht="30" customHeight="1" x14ac:dyDescent="0.2">
      <c r="C921" s="339"/>
      <c r="H921" s="339"/>
      <c r="M921" s="609"/>
      <c r="N921" s="339"/>
      <c r="P921" s="339"/>
      <c r="AF921" s="568"/>
    </row>
    <row r="922" spans="3:32" s="562" customFormat="1" ht="30" customHeight="1" x14ac:dyDescent="0.2">
      <c r="C922" s="339"/>
      <c r="H922" s="339"/>
      <c r="M922" s="609"/>
      <c r="N922" s="339"/>
      <c r="P922" s="339"/>
      <c r="AF922" s="568"/>
    </row>
    <row r="923" spans="3:32" s="562" customFormat="1" ht="30" customHeight="1" x14ac:dyDescent="0.2">
      <c r="C923" s="339"/>
      <c r="H923" s="339"/>
      <c r="M923" s="609"/>
      <c r="N923" s="339"/>
      <c r="P923" s="339"/>
      <c r="AF923" s="568"/>
    </row>
    <row r="924" spans="3:32" s="562" customFormat="1" ht="30" customHeight="1" x14ac:dyDescent="0.2">
      <c r="C924" s="339"/>
      <c r="H924" s="339"/>
      <c r="M924" s="609"/>
      <c r="N924" s="339"/>
      <c r="P924" s="339"/>
      <c r="AF924" s="568"/>
    </row>
    <row r="925" spans="3:32" s="562" customFormat="1" ht="30" customHeight="1" x14ac:dyDescent="0.2">
      <c r="C925" s="339"/>
      <c r="H925" s="339"/>
      <c r="M925" s="609"/>
      <c r="N925" s="339"/>
      <c r="P925" s="339"/>
      <c r="AF925" s="568"/>
    </row>
    <row r="926" spans="3:32" s="562" customFormat="1" ht="30" customHeight="1" x14ac:dyDescent="0.2">
      <c r="C926" s="339"/>
      <c r="H926" s="339"/>
      <c r="M926" s="609"/>
      <c r="N926" s="339"/>
      <c r="P926" s="339"/>
      <c r="AF926" s="568"/>
    </row>
    <row r="927" spans="3:32" s="562" customFormat="1" ht="30" customHeight="1" x14ac:dyDescent="0.2">
      <c r="C927" s="339"/>
      <c r="H927" s="339"/>
      <c r="M927" s="609"/>
      <c r="N927" s="339"/>
      <c r="P927" s="339"/>
      <c r="AF927" s="568"/>
    </row>
    <row r="928" spans="3:32" s="562" customFormat="1" ht="30" customHeight="1" x14ac:dyDescent="0.2">
      <c r="C928" s="339"/>
      <c r="H928" s="339"/>
      <c r="M928" s="609"/>
      <c r="N928" s="339"/>
      <c r="P928" s="339"/>
      <c r="AF928" s="568"/>
    </row>
    <row r="929" spans="3:32" s="562" customFormat="1" ht="30" customHeight="1" x14ac:dyDescent="0.2">
      <c r="C929" s="339"/>
      <c r="H929" s="339"/>
      <c r="M929" s="609"/>
      <c r="N929" s="339"/>
      <c r="P929" s="339"/>
      <c r="AF929" s="568"/>
    </row>
    <row r="930" spans="3:32" s="562" customFormat="1" ht="30" customHeight="1" x14ac:dyDescent="0.2">
      <c r="C930" s="339"/>
      <c r="H930" s="339"/>
      <c r="M930" s="609"/>
      <c r="N930" s="339"/>
      <c r="P930" s="339"/>
      <c r="AF930" s="568"/>
    </row>
    <row r="931" spans="3:32" s="562" customFormat="1" ht="30" customHeight="1" x14ac:dyDescent="0.2">
      <c r="C931" s="339"/>
      <c r="H931" s="339"/>
      <c r="M931" s="609"/>
      <c r="N931" s="339"/>
      <c r="P931" s="339"/>
      <c r="AF931" s="568"/>
    </row>
    <row r="932" spans="3:32" s="562" customFormat="1" ht="30" customHeight="1" x14ac:dyDescent="0.2">
      <c r="C932" s="339"/>
      <c r="H932" s="339"/>
      <c r="M932" s="609"/>
      <c r="N932" s="339"/>
      <c r="P932" s="339"/>
      <c r="AF932" s="568"/>
    </row>
    <row r="933" spans="3:32" s="562" customFormat="1" ht="30" customHeight="1" x14ac:dyDescent="0.2">
      <c r="C933" s="339"/>
      <c r="H933" s="339"/>
      <c r="M933" s="609"/>
      <c r="N933" s="339"/>
      <c r="P933" s="339"/>
      <c r="AF933" s="568"/>
    </row>
    <row r="934" spans="3:32" s="562" customFormat="1" ht="30" customHeight="1" x14ac:dyDescent="0.2">
      <c r="C934" s="339"/>
      <c r="H934" s="339"/>
      <c r="M934" s="609"/>
      <c r="N934" s="339"/>
      <c r="P934" s="339"/>
      <c r="AF934" s="568"/>
    </row>
    <row r="935" spans="3:32" s="562" customFormat="1" ht="30" customHeight="1" x14ac:dyDescent="0.2">
      <c r="C935" s="339"/>
      <c r="H935" s="339"/>
      <c r="M935" s="609"/>
      <c r="N935" s="339"/>
      <c r="P935" s="339"/>
      <c r="AF935" s="568"/>
    </row>
    <row r="936" spans="3:32" s="562" customFormat="1" ht="30" customHeight="1" x14ac:dyDescent="0.2">
      <c r="C936" s="339"/>
      <c r="H936" s="339"/>
      <c r="M936" s="609"/>
      <c r="N936" s="339"/>
      <c r="P936" s="339"/>
      <c r="AF936" s="568"/>
    </row>
    <row r="937" spans="3:32" s="562" customFormat="1" ht="30" customHeight="1" x14ac:dyDescent="0.2">
      <c r="C937" s="339"/>
      <c r="H937" s="339"/>
      <c r="M937" s="609"/>
      <c r="N937" s="339"/>
      <c r="P937" s="339"/>
      <c r="AF937" s="568"/>
    </row>
    <row r="938" spans="3:32" s="562" customFormat="1" ht="30" customHeight="1" x14ac:dyDescent="0.2">
      <c r="C938" s="339"/>
      <c r="H938" s="339"/>
      <c r="M938" s="609"/>
      <c r="N938" s="339"/>
      <c r="P938" s="339"/>
      <c r="AF938" s="568"/>
    </row>
    <row r="939" spans="3:32" s="562" customFormat="1" ht="30" customHeight="1" x14ac:dyDescent="0.2">
      <c r="C939" s="339"/>
      <c r="H939" s="339"/>
      <c r="M939" s="609"/>
      <c r="N939" s="339"/>
      <c r="P939" s="339"/>
      <c r="AF939" s="568"/>
    </row>
    <row r="940" spans="3:32" s="562" customFormat="1" ht="30" customHeight="1" x14ac:dyDescent="0.2">
      <c r="C940" s="339"/>
      <c r="H940" s="339"/>
      <c r="M940" s="609"/>
      <c r="N940" s="339"/>
      <c r="P940" s="339"/>
      <c r="AF940" s="568"/>
    </row>
    <row r="941" spans="3:32" s="562" customFormat="1" ht="30" customHeight="1" x14ac:dyDescent="0.2">
      <c r="C941" s="339"/>
      <c r="H941" s="339"/>
      <c r="M941" s="609"/>
      <c r="N941" s="339"/>
      <c r="P941" s="339"/>
      <c r="AF941" s="568"/>
    </row>
    <row r="942" spans="3:32" s="562" customFormat="1" ht="30" customHeight="1" x14ac:dyDescent="0.2">
      <c r="C942" s="339"/>
      <c r="H942" s="339"/>
      <c r="M942" s="609"/>
      <c r="N942" s="339"/>
      <c r="P942" s="339"/>
      <c r="AF942" s="568"/>
    </row>
    <row r="943" spans="3:32" s="562" customFormat="1" ht="30" customHeight="1" x14ac:dyDescent="0.2">
      <c r="C943" s="339"/>
      <c r="H943" s="339"/>
      <c r="M943" s="609"/>
      <c r="N943" s="339"/>
      <c r="P943" s="339"/>
      <c r="AF943" s="568"/>
    </row>
    <row r="944" spans="3:32" s="562" customFormat="1" ht="30" customHeight="1" x14ac:dyDescent="0.2">
      <c r="C944" s="339"/>
      <c r="H944" s="339"/>
      <c r="M944" s="609"/>
      <c r="N944" s="339"/>
      <c r="P944" s="339"/>
      <c r="AF944" s="568"/>
    </row>
    <row r="945" spans="3:32" s="562" customFormat="1" ht="30" customHeight="1" x14ac:dyDescent="0.2">
      <c r="C945" s="339"/>
      <c r="H945" s="339"/>
      <c r="M945" s="609"/>
      <c r="N945" s="339"/>
      <c r="P945" s="339"/>
      <c r="AF945" s="568"/>
    </row>
    <row r="946" spans="3:32" s="562" customFormat="1" ht="30" customHeight="1" x14ac:dyDescent="0.2">
      <c r="C946" s="339"/>
      <c r="H946" s="339"/>
      <c r="M946" s="609"/>
      <c r="N946" s="339"/>
      <c r="P946" s="339"/>
      <c r="AF946" s="568"/>
    </row>
    <row r="947" spans="3:32" s="562" customFormat="1" ht="30" customHeight="1" x14ac:dyDescent="0.2">
      <c r="C947" s="339"/>
      <c r="H947" s="339"/>
      <c r="M947" s="609"/>
      <c r="N947" s="339"/>
      <c r="P947" s="339"/>
      <c r="AF947" s="568"/>
    </row>
    <row r="948" spans="3:32" s="562" customFormat="1" ht="30" customHeight="1" x14ac:dyDescent="0.2">
      <c r="C948" s="339"/>
      <c r="H948" s="339"/>
      <c r="M948" s="609"/>
      <c r="N948" s="339"/>
      <c r="P948" s="339"/>
      <c r="AF948" s="568"/>
    </row>
    <row r="949" spans="3:32" s="562" customFormat="1" ht="30" customHeight="1" x14ac:dyDescent="0.2">
      <c r="C949" s="339"/>
      <c r="H949" s="339"/>
      <c r="M949" s="609"/>
      <c r="N949" s="339"/>
      <c r="P949" s="339"/>
      <c r="AF949" s="568"/>
    </row>
    <row r="950" spans="3:32" s="562" customFormat="1" ht="30" customHeight="1" x14ac:dyDescent="0.2">
      <c r="C950" s="339"/>
      <c r="H950" s="339"/>
      <c r="M950" s="609"/>
      <c r="N950" s="339"/>
      <c r="P950" s="339"/>
      <c r="AF950" s="568"/>
    </row>
    <row r="951" spans="3:32" s="562" customFormat="1" ht="30" customHeight="1" x14ac:dyDescent="0.2">
      <c r="C951" s="339"/>
      <c r="H951" s="339"/>
      <c r="M951" s="609"/>
      <c r="N951" s="339"/>
      <c r="P951" s="339"/>
      <c r="AF951" s="568"/>
    </row>
    <row r="952" spans="3:32" s="562" customFormat="1" ht="30" customHeight="1" x14ac:dyDescent="0.2">
      <c r="C952" s="339"/>
      <c r="H952" s="339"/>
      <c r="M952" s="609"/>
      <c r="N952" s="339"/>
      <c r="P952" s="339"/>
      <c r="AF952" s="568"/>
    </row>
    <row r="953" spans="3:32" s="562" customFormat="1" ht="30" customHeight="1" x14ac:dyDescent="0.2">
      <c r="C953" s="339"/>
      <c r="H953" s="339"/>
      <c r="M953" s="609"/>
      <c r="N953" s="339"/>
      <c r="P953" s="339"/>
      <c r="AF953" s="568"/>
    </row>
    <row r="954" spans="3:32" s="562" customFormat="1" ht="30" customHeight="1" x14ac:dyDescent="0.2">
      <c r="C954" s="339"/>
      <c r="H954" s="339"/>
      <c r="M954" s="609"/>
      <c r="N954" s="339"/>
      <c r="P954" s="339"/>
      <c r="AF954" s="568"/>
    </row>
    <row r="955" spans="3:32" s="562" customFormat="1" ht="30" customHeight="1" x14ac:dyDescent="0.2">
      <c r="C955" s="339"/>
      <c r="H955" s="339"/>
      <c r="M955" s="609"/>
      <c r="N955" s="339"/>
      <c r="P955" s="339"/>
      <c r="AF955" s="568"/>
    </row>
    <row r="956" spans="3:32" s="562" customFormat="1" ht="30" customHeight="1" x14ac:dyDescent="0.2">
      <c r="C956" s="339"/>
      <c r="H956" s="339"/>
      <c r="M956" s="609"/>
      <c r="N956" s="339"/>
      <c r="P956" s="339"/>
      <c r="AF956" s="568"/>
    </row>
    <row r="957" spans="3:32" s="562" customFormat="1" ht="30" customHeight="1" x14ac:dyDescent="0.2">
      <c r="C957" s="339"/>
      <c r="H957" s="339"/>
      <c r="M957" s="609"/>
      <c r="N957" s="339"/>
      <c r="P957" s="339"/>
      <c r="AF957" s="568"/>
    </row>
    <row r="958" spans="3:32" s="562" customFormat="1" ht="30" customHeight="1" x14ac:dyDescent="0.2">
      <c r="C958" s="339"/>
      <c r="H958" s="339"/>
      <c r="M958" s="609"/>
      <c r="N958" s="339"/>
      <c r="P958" s="339"/>
      <c r="AF958" s="568"/>
    </row>
    <row r="959" spans="3:32" s="562" customFormat="1" ht="30" customHeight="1" x14ac:dyDescent="0.2">
      <c r="C959" s="339"/>
      <c r="H959" s="339"/>
      <c r="M959" s="609"/>
      <c r="N959" s="339"/>
      <c r="P959" s="339"/>
      <c r="AF959" s="568"/>
    </row>
    <row r="960" spans="3:32" s="562" customFormat="1" ht="30" customHeight="1" x14ac:dyDescent="0.2">
      <c r="C960" s="339"/>
      <c r="H960" s="339"/>
      <c r="M960" s="609"/>
      <c r="N960" s="339"/>
      <c r="P960" s="339"/>
      <c r="AF960" s="568"/>
    </row>
    <row r="961" spans="3:32" s="562" customFormat="1" ht="30" customHeight="1" x14ac:dyDescent="0.2">
      <c r="C961" s="339"/>
      <c r="H961" s="339"/>
      <c r="M961" s="609"/>
      <c r="N961" s="339"/>
      <c r="P961" s="339"/>
      <c r="AF961" s="568"/>
    </row>
    <row r="962" spans="3:32" s="562" customFormat="1" ht="30" customHeight="1" x14ac:dyDescent="0.2">
      <c r="C962" s="339"/>
      <c r="H962" s="339"/>
      <c r="M962" s="609"/>
      <c r="N962" s="339"/>
      <c r="P962" s="339"/>
      <c r="AF962" s="568"/>
    </row>
    <row r="963" spans="3:32" s="562" customFormat="1" ht="30" customHeight="1" x14ac:dyDescent="0.2">
      <c r="C963" s="339"/>
      <c r="H963" s="339"/>
      <c r="M963" s="609"/>
      <c r="N963" s="339"/>
      <c r="P963" s="339"/>
      <c r="AF963" s="568"/>
    </row>
    <row r="964" spans="3:32" s="562" customFormat="1" ht="30" customHeight="1" x14ac:dyDescent="0.2">
      <c r="C964" s="339"/>
      <c r="H964" s="339"/>
      <c r="M964" s="609"/>
      <c r="N964" s="339"/>
      <c r="P964" s="339"/>
      <c r="AF964" s="568"/>
    </row>
    <row r="965" spans="3:32" s="562" customFormat="1" ht="30" customHeight="1" x14ac:dyDescent="0.2">
      <c r="C965" s="339"/>
      <c r="H965" s="339"/>
      <c r="M965" s="609"/>
      <c r="N965" s="339"/>
      <c r="P965" s="339"/>
      <c r="AF965" s="568"/>
    </row>
    <row r="966" spans="3:32" s="562" customFormat="1" ht="30" customHeight="1" x14ac:dyDescent="0.2">
      <c r="C966" s="339"/>
      <c r="H966" s="339"/>
      <c r="M966" s="609"/>
      <c r="N966" s="339"/>
      <c r="P966" s="339"/>
      <c r="AF966" s="568"/>
    </row>
    <row r="967" spans="3:32" s="562" customFormat="1" ht="30" customHeight="1" x14ac:dyDescent="0.2">
      <c r="C967" s="339"/>
      <c r="H967" s="339"/>
      <c r="M967" s="609"/>
      <c r="N967" s="339"/>
      <c r="P967" s="339"/>
      <c r="AF967" s="568"/>
    </row>
    <row r="968" spans="3:32" s="562" customFormat="1" ht="30" customHeight="1" x14ac:dyDescent="0.2">
      <c r="C968" s="339"/>
      <c r="H968" s="339"/>
      <c r="M968" s="609"/>
      <c r="N968" s="339"/>
      <c r="P968" s="339"/>
      <c r="AF968" s="568"/>
    </row>
    <row r="969" spans="3:32" s="562" customFormat="1" ht="30" customHeight="1" x14ac:dyDescent="0.2">
      <c r="C969" s="339"/>
      <c r="H969" s="339"/>
      <c r="M969" s="609"/>
      <c r="N969" s="339"/>
      <c r="P969" s="339"/>
      <c r="AF969" s="568"/>
    </row>
    <row r="970" spans="3:32" s="562" customFormat="1" ht="30" customHeight="1" x14ac:dyDescent="0.2">
      <c r="C970" s="339"/>
      <c r="H970" s="339"/>
      <c r="M970" s="609"/>
      <c r="N970" s="339"/>
      <c r="P970" s="339"/>
      <c r="AF970" s="568"/>
    </row>
    <row r="971" spans="3:32" s="562" customFormat="1" ht="30" customHeight="1" x14ac:dyDescent="0.2">
      <c r="C971" s="339"/>
      <c r="H971" s="339"/>
      <c r="M971" s="609"/>
      <c r="N971" s="339"/>
      <c r="P971" s="339"/>
      <c r="AF971" s="568"/>
    </row>
    <row r="972" spans="3:32" s="562" customFormat="1" ht="30" customHeight="1" x14ac:dyDescent="0.2">
      <c r="C972" s="339"/>
      <c r="H972" s="339"/>
      <c r="M972" s="609"/>
      <c r="N972" s="339"/>
      <c r="P972" s="339"/>
      <c r="AF972" s="568"/>
    </row>
    <row r="973" spans="3:32" s="562" customFormat="1" ht="30" customHeight="1" x14ac:dyDescent="0.2">
      <c r="C973" s="339"/>
      <c r="H973" s="339"/>
      <c r="M973" s="609"/>
      <c r="N973" s="339"/>
      <c r="P973" s="339"/>
      <c r="AF973" s="568"/>
    </row>
    <row r="974" spans="3:32" s="562" customFormat="1" ht="30" customHeight="1" x14ac:dyDescent="0.2">
      <c r="C974" s="339"/>
      <c r="H974" s="339"/>
      <c r="M974" s="609"/>
      <c r="N974" s="339"/>
      <c r="P974" s="339"/>
      <c r="AF974" s="568"/>
    </row>
    <row r="975" spans="3:32" s="562" customFormat="1" ht="30" customHeight="1" x14ac:dyDescent="0.2">
      <c r="C975" s="339"/>
      <c r="H975" s="339"/>
      <c r="M975" s="609"/>
      <c r="N975" s="339"/>
      <c r="P975" s="339"/>
      <c r="AF975" s="568"/>
    </row>
    <row r="976" spans="3:32" s="562" customFormat="1" ht="30" customHeight="1" x14ac:dyDescent="0.2">
      <c r="C976" s="339"/>
      <c r="H976" s="339"/>
      <c r="M976" s="609"/>
      <c r="N976" s="339"/>
      <c r="P976" s="339"/>
      <c r="AF976" s="568"/>
    </row>
    <row r="977" spans="3:32" s="562" customFormat="1" ht="30" customHeight="1" x14ac:dyDescent="0.2">
      <c r="C977" s="339"/>
      <c r="H977" s="339"/>
      <c r="M977" s="609"/>
      <c r="N977" s="339"/>
      <c r="P977" s="339"/>
      <c r="AF977" s="568"/>
    </row>
    <row r="978" spans="3:32" s="562" customFormat="1" ht="30" customHeight="1" x14ac:dyDescent="0.2">
      <c r="C978" s="339"/>
      <c r="H978" s="339"/>
      <c r="M978" s="609"/>
      <c r="N978" s="339"/>
      <c r="P978" s="339"/>
      <c r="AF978" s="568"/>
    </row>
    <row r="979" spans="3:32" s="562" customFormat="1" ht="30" customHeight="1" x14ac:dyDescent="0.2">
      <c r="C979" s="339"/>
      <c r="H979" s="339"/>
      <c r="M979" s="609"/>
      <c r="N979" s="339"/>
      <c r="P979" s="339"/>
      <c r="AF979" s="568"/>
    </row>
    <row r="980" spans="3:32" s="562" customFormat="1" ht="30" customHeight="1" x14ac:dyDescent="0.2">
      <c r="C980" s="339"/>
      <c r="H980" s="339"/>
      <c r="M980" s="609"/>
      <c r="N980" s="339"/>
      <c r="P980" s="339"/>
      <c r="AF980" s="568"/>
    </row>
    <row r="981" spans="3:32" s="562" customFormat="1" ht="30" customHeight="1" x14ac:dyDescent="0.2">
      <c r="C981" s="339"/>
      <c r="H981" s="339"/>
      <c r="M981" s="609"/>
      <c r="N981" s="339"/>
      <c r="P981" s="339"/>
      <c r="AF981" s="568"/>
    </row>
    <row r="982" spans="3:32" s="562" customFormat="1" ht="30" customHeight="1" x14ac:dyDescent="0.2">
      <c r="C982" s="339"/>
      <c r="H982" s="339"/>
      <c r="M982" s="609"/>
      <c r="N982" s="339"/>
      <c r="P982" s="339"/>
      <c r="AF982" s="568"/>
    </row>
    <row r="983" spans="3:32" s="562" customFormat="1" ht="30" customHeight="1" x14ac:dyDescent="0.2">
      <c r="C983" s="339"/>
      <c r="H983" s="339"/>
      <c r="M983" s="609"/>
      <c r="N983" s="339"/>
      <c r="P983" s="339"/>
      <c r="AF983" s="568"/>
    </row>
    <row r="984" spans="3:32" s="562" customFormat="1" ht="30" customHeight="1" x14ac:dyDescent="0.2">
      <c r="C984" s="339"/>
      <c r="H984" s="339"/>
      <c r="M984" s="609"/>
      <c r="N984" s="339"/>
      <c r="P984" s="339"/>
      <c r="AF984" s="568"/>
    </row>
    <row r="985" spans="3:32" s="562" customFormat="1" ht="30" customHeight="1" x14ac:dyDescent="0.2">
      <c r="C985" s="339"/>
      <c r="H985" s="339"/>
      <c r="M985" s="609"/>
      <c r="N985" s="339"/>
      <c r="P985" s="339"/>
      <c r="AF985" s="568"/>
    </row>
    <row r="986" spans="3:32" s="562" customFormat="1" ht="30" customHeight="1" x14ac:dyDescent="0.2">
      <c r="C986" s="339"/>
      <c r="H986" s="339"/>
      <c r="M986" s="609"/>
      <c r="N986" s="339"/>
      <c r="P986" s="339"/>
      <c r="AF986" s="568"/>
    </row>
    <row r="987" spans="3:32" s="562" customFormat="1" ht="30" customHeight="1" x14ac:dyDescent="0.2">
      <c r="C987" s="339"/>
      <c r="H987" s="339"/>
      <c r="M987" s="609"/>
      <c r="N987" s="339"/>
      <c r="P987" s="339"/>
      <c r="AF987" s="568"/>
    </row>
    <row r="988" spans="3:32" s="562" customFormat="1" ht="30" customHeight="1" x14ac:dyDescent="0.2">
      <c r="C988" s="339"/>
      <c r="H988" s="339"/>
      <c r="M988" s="609"/>
      <c r="N988" s="339"/>
      <c r="P988" s="339"/>
      <c r="AF988" s="568"/>
    </row>
    <row r="989" spans="3:32" s="562" customFormat="1" ht="30" customHeight="1" x14ac:dyDescent="0.2">
      <c r="C989" s="339"/>
      <c r="H989" s="339"/>
      <c r="M989" s="609"/>
      <c r="N989" s="339"/>
      <c r="P989" s="339"/>
      <c r="AF989" s="568"/>
    </row>
    <row r="990" spans="3:32" s="562" customFormat="1" ht="30" customHeight="1" x14ac:dyDescent="0.2">
      <c r="C990" s="339"/>
      <c r="H990" s="339"/>
      <c r="M990" s="609"/>
      <c r="N990" s="339"/>
      <c r="P990" s="339"/>
      <c r="AF990" s="568"/>
    </row>
    <row r="991" spans="3:32" s="562" customFormat="1" ht="30" customHeight="1" x14ac:dyDescent="0.2">
      <c r="C991" s="339"/>
      <c r="H991" s="339"/>
      <c r="M991" s="609"/>
      <c r="N991" s="339"/>
      <c r="P991" s="339"/>
      <c r="AF991" s="568"/>
    </row>
    <row r="992" spans="3:32" s="562" customFormat="1" ht="30" customHeight="1" x14ac:dyDescent="0.2">
      <c r="C992" s="339"/>
      <c r="H992" s="339"/>
      <c r="M992" s="609"/>
      <c r="N992" s="339"/>
      <c r="P992" s="339"/>
      <c r="AF992" s="568"/>
    </row>
    <row r="993" spans="3:32" s="562" customFormat="1" ht="30" customHeight="1" x14ac:dyDescent="0.2">
      <c r="C993" s="339"/>
      <c r="H993" s="339"/>
      <c r="M993" s="609"/>
      <c r="N993" s="339"/>
      <c r="P993" s="339"/>
      <c r="AF993" s="568"/>
    </row>
    <row r="994" spans="3:32" s="562" customFormat="1" ht="30" customHeight="1" x14ac:dyDescent="0.2">
      <c r="C994" s="339"/>
      <c r="H994" s="339"/>
      <c r="M994" s="609"/>
      <c r="N994" s="339"/>
      <c r="P994" s="339"/>
      <c r="AF994" s="568"/>
    </row>
    <row r="995" spans="3:32" s="562" customFormat="1" ht="30" customHeight="1" x14ac:dyDescent="0.2">
      <c r="C995" s="339"/>
      <c r="H995" s="339"/>
      <c r="M995" s="609"/>
      <c r="N995" s="339"/>
      <c r="P995" s="339"/>
      <c r="AF995" s="568"/>
    </row>
    <row r="996" spans="3:32" s="562" customFormat="1" ht="30" customHeight="1" x14ac:dyDescent="0.2">
      <c r="C996" s="339"/>
      <c r="H996" s="339"/>
      <c r="M996" s="609"/>
      <c r="N996" s="339"/>
      <c r="P996" s="339"/>
      <c r="AF996" s="568"/>
    </row>
    <row r="997" spans="3:32" s="562" customFormat="1" ht="30" customHeight="1" x14ac:dyDescent="0.2">
      <c r="C997" s="339"/>
      <c r="H997" s="339"/>
      <c r="M997" s="609"/>
      <c r="N997" s="339"/>
      <c r="P997" s="339"/>
      <c r="AF997" s="568"/>
    </row>
    <row r="998" spans="3:32" s="562" customFormat="1" ht="30" customHeight="1" x14ac:dyDescent="0.2">
      <c r="C998" s="339"/>
      <c r="H998" s="339"/>
      <c r="M998" s="609"/>
      <c r="N998" s="339"/>
      <c r="P998" s="339"/>
      <c r="AF998" s="568"/>
    </row>
    <row r="999" spans="3:32" s="562" customFormat="1" ht="30" customHeight="1" x14ac:dyDescent="0.2">
      <c r="C999" s="339"/>
      <c r="H999" s="339"/>
      <c r="M999" s="609"/>
      <c r="N999" s="339"/>
      <c r="P999" s="339"/>
      <c r="AF999" s="568"/>
    </row>
    <row r="1000" spans="3:32" s="562" customFormat="1" ht="30" customHeight="1" x14ac:dyDescent="0.2">
      <c r="C1000" s="339"/>
      <c r="H1000" s="339"/>
      <c r="M1000" s="609"/>
      <c r="N1000" s="339"/>
      <c r="P1000" s="339"/>
      <c r="AF1000" s="568"/>
    </row>
    <row r="1001" spans="3:32" s="562" customFormat="1" ht="30" customHeight="1" x14ac:dyDescent="0.2">
      <c r="C1001" s="339"/>
      <c r="H1001" s="339"/>
      <c r="M1001" s="609"/>
      <c r="N1001" s="339"/>
      <c r="P1001" s="339"/>
      <c r="AF1001" s="568"/>
    </row>
    <row r="1002" spans="3:32" s="562" customFormat="1" ht="30" customHeight="1" x14ac:dyDescent="0.2">
      <c r="C1002" s="339"/>
      <c r="H1002" s="339"/>
      <c r="M1002" s="609"/>
      <c r="N1002" s="339"/>
      <c r="P1002" s="339"/>
      <c r="AF1002" s="568"/>
    </row>
    <row r="1003" spans="3:32" s="562" customFormat="1" ht="30" customHeight="1" x14ac:dyDescent="0.2">
      <c r="C1003" s="339"/>
      <c r="H1003" s="339"/>
      <c r="M1003" s="609"/>
      <c r="N1003" s="339"/>
      <c r="P1003" s="339"/>
      <c r="AF1003" s="568"/>
    </row>
    <row r="1004" spans="3:32" s="562" customFormat="1" ht="30" customHeight="1" x14ac:dyDescent="0.2">
      <c r="C1004" s="339"/>
      <c r="H1004" s="339"/>
      <c r="M1004" s="609"/>
      <c r="N1004" s="339"/>
      <c r="P1004" s="339"/>
      <c r="AF1004" s="568"/>
    </row>
    <row r="1005" spans="3:32" s="562" customFormat="1" ht="30" customHeight="1" x14ac:dyDescent="0.2">
      <c r="C1005" s="339"/>
      <c r="H1005" s="339"/>
      <c r="M1005" s="609"/>
      <c r="N1005" s="339"/>
      <c r="P1005" s="339"/>
      <c r="AF1005" s="568"/>
    </row>
    <row r="1006" spans="3:32" s="562" customFormat="1" ht="30" customHeight="1" x14ac:dyDescent="0.2">
      <c r="C1006" s="339"/>
      <c r="H1006" s="339"/>
      <c r="M1006" s="609"/>
      <c r="N1006" s="339"/>
      <c r="P1006" s="339"/>
      <c r="AF1006" s="568"/>
    </row>
    <row r="1007" spans="3:32" s="562" customFormat="1" ht="30" customHeight="1" x14ac:dyDescent="0.2">
      <c r="C1007" s="339"/>
      <c r="H1007" s="339"/>
      <c r="M1007" s="609"/>
      <c r="N1007" s="339"/>
      <c r="P1007" s="339"/>
      <c r="AF1007" s="568"/>
    </row>
    <row r="1008" spans="3:32" s="562" customFormat="1" ht="30" customHeight="1" x14ac:dyDescent="0.2">
      <c r="C1008" s="339"/>
      <c r="H1008" s="339"/>
      <c r="M1008" s="609"/>
      <c r="N1008" s="339"/>
      <c r="P1008" s="339"/>
      <c r="AF1008" s="568"/>
    </row>
    <row r="1009" spans="3:32" s="562" customFormat="1" ht="30" customHeight="1" x14ac:dyDescent="0.2">
      <c r="C1009" s="339"/>
      <c r="H1009" s="339"/>
      <c r="M1009" s="609"/>
      <c r="N1009" s="339"/>
      <c r="P1009" s="339"/>
      <c r="AF1009" s="568"/>
    </row>
    <row r="1010" spans="3:32" s="562" customFormat="1" ht="30" customHeight="1" x14ac:dyDescent="0.2">
      <c r="C1010" s="339"/>
      <c r="H1010" s="339"/>
      <c r="M1010" s="609"/>
      <c r="N1010" s="339"/>
      <c r="P1010" s="339"/>
      <c r="AF1010" s="568"/>
    </row>
    <row r="1011" spans="3:32" s="562" customFormat="1" ht="30" customHeight="1" x14ac:dyDescent="0.2">
      <c r="C1011" s="339"/>
      <c r="H1011" s="339"/>
      <c r="M1011" s="609"/>
      <c r="N1011" s="339"/>
      <c r="P1011" s="339"/>
      <c r="AF1011" s="568"/>
    </row>
    <row r="1012" spans="3:32" s="562" customFormat="1" ht="30" customHeight="1" x14ac:dyDescent="0.2">
      <c r="C1012" s="339"/>
      <c r="H1012" s="339"/>
      <c r="M1012" s="609"/>
      <c r="N1012" s="339"/>
      <c r="P1012" s="339"/>
      <c r="AF1012" s="568"/>
    </row>
    <row r="1013" spans="3:32" s="562" customFormat="1" ht="30" customHeight="1" x14ac:dyDescent="0.2">
      <c r="C1013" s="339"/>
      <c r="H1013" s="339"/>
      <c r="M1013" s="609"/>
      <c r="N1013" s="339"/>
      <c r="P1013" s="339"/>
      <c r="AF1013" s="568"/>
    </row>
    <row r="1014" spans="3:32" s="562" customFormat="1" ht="30" customHeight="1" x14ac:dyDescent="0.2">
      <c r="C1014" s="339"/>
      <c r="H1014" s="339"/>
      <c r="M1014" s="609"/>
      <c r="N1014" s="339"/>
      <c r="P1014" s="339"/>
      <c r="AF1014" s="568"/>
    </row>
    <row r="1015" spans="3:32" s="562" customFormat="1" ht="30" customHeight="1" x14ac:dyDescent="0.2">
      <c r="C1015" s="339"/>
      <c r="H1015" s="339"/>
      <c r="M1015" s="609"/>
      <c r="N1015" s="339"/>
      <c r="P1015" s="339"/>
      <c r="AF1015" s="568"/>
    </row>
    <row r="1016" spans="3:32" s="562" customFormat="1" ht="30" customHeight="1" x14ac:dyDescent="0.2">
      <c r="C1016" s="339"/>
      <c r="H1016" s="339"/>
      <c r="M1016" s="609"/>
      <c r="N1016" s="339"/>
      <c r="P1016" s="339"/>
      <c r="AF1016" s="568"/>
    </row>
    <row r="1017" spans="3:32" s="562" customFormat="1" ht="30" customHeight="1" x14ac:dyDescent="0.2">
      <c r="C1017" s="339"/>
      <c r="H1017" s="339"/>
      <c r="M1017" s="609"/>
      <c r="N1017" s="339"/>
      <c r="P1017" s="339"/>
      <c r="AF1017" s="568"/>
    </row>
    <row r="1018" spans="3:32" s="562" customFormat="1" ht="30" customHeight="1" x14ac:dyDescent="0.2">
      <c r="C1018" s="339"/>
      <c r="H1018" s="339"/>
      <c r="M1018" s="609"/>
      <c r="N1018" s="339"/>
      <c r="P1018" s="339"/>
      <c r="AF1018" s="568"/>
    </row>
    <row r="1019" spans="3:32" s="562" customFormat="1" ht="30" customHeight="1" x14ac:dyDescent="0.2">
      <c r="C1019" s="339"/>
      <c r="H1019" s="339"/>
      <c r="M1019" s="609"/>
      <c r="N1019" s="339"/>
      <c r="P1019" s="339"/>
      <c r="AF1019" s="568"/>
    </row>
    <row r="1020" spans="3:32" s="562" customFormat="1" ht="30" customHeight="1" x14ac:dyDescent="0.2">
      <c r="C1020" s="339"/>
      <c r="H1020" s="339"/>
      <c r="M1020" s="609"/>
      <c r="N1020" s="339"/>
      <c r="P1020" s="339"/>
      <c r="AF1020" s="568"/>
    </row>
    <row r="1021" spans="3:32" s="562" customFormat="1" ht="30" customHeight="1" x14ac:dyDescent="0.2">
      <c r="C1021" s="339"/>
      <c r="H1021" s="339"/>
      <c r="M1021" s="609"/>
      <c r="N1021" s="339"/>
      <c r="P1021" s="339"/>
      <c r="AF1021" s="568"/>
    </row>
    <row r="1022" spans="3:32" s="562" customFormat="1" ht="30" customHeight="1" x14ac:dyDescent="0.2">
      <c r="C1022" s="339"/>
      <c r="H1022" s="339"/>
      <c r="M1022" s="609"/>
      <c r="N1022" s="339"/>
      <c r="P1022" s="339"/>
      <c r="AF1022" s="568"/>
    </row>
    <row r="1023" spans="3:32" s="562" customFormat="1" ht="30" customHeight="1" x14ac:dyDescent="0.2">
      <c r="C1023" s="339"/>
      <c r="H1023" s="339"/>
      <c r="M1023" s="609"/>
      <c r="N1023" s="339"/>
      <c r="P1023" s="339"/>
      <c r="AF1023" s="568"/>
    </row>
    <row r="1024" spans="3:32" s="562" customFormat="1" ht="30" customHeight="1" x14ac:dyDescent="0.2">
      <c r="C1024" s="339"/>
      <c r="H1024" s="339"/>
      <c r="M1024" s="609"/>
      <c r="N1024" s="339"/>
      <c r="P1024" s="339"/>
      <c r="AF1024" s="568"/>
    </row>
    <row r="1025" spans="3:32" s="562" customFormat="1" ht="30" customHeight="1" x14ac:dyDescent="0.2">
      <c r="C1025" s="339"/>
      <c r="H1025" s="339"/>
      <c r="M1025" s="609"/>
      <c r="N1025" s="339"/>
      <c r="P1025" s="339"/>
      <c r="AF1025" s="568"/>
    </row>
    <row r="1026" spans="3:32" s="562" customFormat="1" ht="30" customHeight="1" x14ac:dyDescent="0.2">
      <c r="C1026" s="339"/>
      <c r="H1026" s="339"/>
      <c r="M1026" s="609"/>
      <c r="N1026" s="339"/>
      <c r="P1026" s="339"/>
      <c r="AF1026" s="568"/>
    </row>
    <row r="1027" spans="3:32" s="562" customFormat="1" ht="30" customHeight="1" x14ac:dyDescent="0.2">
      <c r="C1027" s="339"/>
      <c r="H1027" s="339"/>
      <c r="M1027" s="609"/>
      <c r="N1027" s="339"/>
      <c r="P1027" s="339"/>
      <c r="AF1027" s="568"/>
    </row>
    <row r="1028" spans="3:32" s="562" customFormat="1" ht="30" customHeight="1" x14ac:dyDescent="0.2">
      <c r="C1028" s="339"/>
      <c r="H1028" s="339"/>
      <c r="M1028" s="609"/>
      <c r="N1028" s="339"/>
      <c r="P1028" s="339"/>
      <c r="AF1028" s="568"/>
    </row>
    <row r="1029" spans="3:32" s="562" customFormat="1" ht="30" customHeight="1" x14ac:dyDescent="0.2">
      <c r="C1029" s="339"/>
      <c r="H1029" s="339"/>
      <c r="M1029" s="609"/>
      <c r="N1029" s="339"/>
      <c r="P1029" s="339"/>
      <c r="AF1029" s="568"/>
    </row>
    <row r="1030" spans="3:32" s="562" customFormat="1" ht="30" customHeight="1" x14ac:dyDescent="0.2">
      <c r="C1030" s="339"/>
      <c r="H1030" s="339"/>
      <c r="M1030" s="609"/>
      <c r="N1030" s="339"/>
      <c r="P1030" s="339"/>
      <c r="AF1030" s="568"/>
    </row>
    <row r="1031" spans="3:32" s="562" customFormat="1" ht="30" customHeight="1" x14ac:dyDescent="0.2">
      <c r="C1031" s="339"/>
      <c r="H1031" s="339"/>
      <c r="M1031" s="609"/>
      <c r="N1031" s="339"/>
      <c r="P1031" s="339"/>
      <c r="AF1031" s="568"/>
    </row>
    <row r="1032" spans="3:32" s="562" customFormat="1" ht="30" customHeight="1" x14ac:dyDescent="0.2">
      <c r="C1032" s="339"/>
      <c r="H1032" s="339"/>
      <c r="M1032" s="609"/>
      <c r="N1032" s="339"/>
      <c r="P1032" s="339"/>
      <c r="AF1032" s="568"/>
    </row>
    <row r="1033" spans="3:32" s="562" customFormat="1" ht="30" customHeight="1" x14ac:dyDescent="0.2">
      <c r="C1033" s="339"/>
      <c r="H1033" s="339"/>
      <c r="M1033" s="609"/>
      <c r="N1033" s="339"/>
      <c r="P1033" s="339"/>
      <c r="AF1033" s="568"/>
    </row>
    <row r="1034" spans="3:32" s="562" customFormat="1" ht="30" customHeight="1" x14ac:dyDescent="0.2">
      <c r="C1034" s="339"/>
      <c r="H1034" s="339"/>
      <c r="M1034" s="609"/>
      <c r="N1034" s="339"/>
      <c r="P1034" s="339"/>
      <c r="AF1034" s="568"/>
    </row>
    <row r="1035" spans="3:32" s="562" customFormat="1" ht="30" customHeight="1" x14ac:dyDescent="0.2">
      <c r="C1035" s="339"/>
      <c r="H1035" s="339"/>
      <c r="M1035" s="609"/>
      <c r="N1035" s="339"/>
      <c r="P1035" s="339"/>
      <c r="AF1035" s="568"/>
    </row>
    <row r="1036" spans="3:32" s="562" customFormat="1" ht="30" customHeight="1" x14ac:dyDescent="0.2">
      <c r="C1036" s="339"/>
      <c r="H1036" s="339"/>
      <c r="M1036" s="609"/>
      <c r="N1036" s="339"/>
      <c r="P1036" s="339"/>
      <c r="AF1036" s="568"/>
    </row>
    <row r="1037" spans="3:32" s="562" customFormat="1" ht="30" customHeight="1" x14ac:dyDescent="0.2">
      <c r="C1037" s="339"/>
      <c r="H1037" s="339"/>
      <c r="M1037" s="609"/>
      <c r="N1037" s="339"/>
      <c r="P1037" s="339"/>
      <c r="AF1037" s="568"/>
    </row>
    <row r="1038" spans="3:32" s="562" customFormat="1" ht="30" customHeight="1" x14ac:dyDescent="0.2">
      <c r="C1038" s="339"/>
      <c r="H1038" s="339"/>
      <c r="M1038" s="609"/>
      <c r="N1038" s="339"/>
      <c r="P1038" s="339"/>
      <c r="AF1038" s="568"/>
    </row>
    <row r="1039" spans="3:32" s="562" customFormat="1" ht="30" customHeight="1" x14ac:dyDescent="0.2">
      <c r="C1039" s="339"/>
      <c r="H1039" s="339"/>
      <c r="M1039" s="609"/>
      <c r="N1039" s="339"/>
      <c r="P1039" s="339"/>
      <c r="AF1039" s="568"/>
    </row>
    <row r="1040" spans="3:32" s="562" customFormat="1" ht="30" customHeight="1" x14ac:dyDescent="0.2">
      <c r="C1040" s="339"/>
      <c r="H1040" s="339"/>
      <c r="M1040" s="609"/>
      <c r="N1040" s="339"/>
      <c r="P1040" s="339"/>
      <c r="AF1040" s="568"/>
    </row>
    <row r="1041" spans="3:32" s="562" customFormat="1" ht="30" customHeight="1" x14ac:dyDescent="0.2">
      <c r="C1041" s="339"/>
      <c r="H1041" s="339"/>
      <c r="M1041" s="609"/>
      <c r="N1041" s="339"/>
      <c r="P1041" s="339"/>
      <c r="AF1041" s="568"/>
    </row>
    <row r="1042" spans="3:32" s="562" customFormat="1" ht="30" customHeight="1" x14ac:dyDescent="0.2">
      <c r="C1042" s="339"/>
      <c r="H1042" s="339"/>
      <c r="M1042" s="609"/>
      <c r="N1042" s="339"/>
      <c r="P1042" s="339"/>
      <c r="AF1042" s="568"/>
    </row>
    <row r="1043" spans="3:32" s="562" customFormat="1" ht="30" customHeight="1" x14ac:dyDescent="0.2">
      <c r="C1043" s="339"/>
      <c r="H1043" s="339"/>
      <c r="M1043" s="609"/>
      <c r="N1043" s="339"/>
      <c r="P1043" s="339"/>
      <c r="AF1043" s="568"/>
    </row>
    <row r="1044" spans="3:32" s="562" customFormat="1" ht="30" customHeight="1" x14ac:dyDescent="0.2">
      <c r="C1044" s="339"/>
      <c r="H1044" s="339"/>
      <c r="M1044" s="609"/>
      <c r="N1044" s="339"/>
      <c r="P1044" s="339"/>
      <c r="AF1044" s="568"/>
    </row>
    <row r="1045" spans="3:32" s="562" customFormat="1" ht="30" customHeight="1" x14ac:dyDescent="0.2">
      <c r="C1045" s="339"/>
      <c r="H1045" s="339"/>
      <c r="M1045" s="609"/>
      <c r="N1045" s="339"/>
      <c r="P1045" s="339"/>
      <c r="AF1045" s="568"/>
    </row>
    <row r="1046" spans="3:32" s="562" customFormat="1" ht="30" customHeight="1" x14ac:dyDescent="0.2">
      <c r="C1046" s="339"/>
      <c r="H1046" s="339"/>
      <c r="M1046" s="609"/>
      <c r="N1046" s="339"/>
      <c r="P1046" s="339"/>
      <c r="AF1046" s="568"/>
    </row>
    <row r="1047" spans="3:32" s="562" customFormat="1" ht="30" customHeight="1" x14ac:dyDescent="0.2">
      <c r="C1047" s="339"/>
      <c r="H1047" s="339"/>
      <c r="M1047" s="609"/>
      <c r="N1047" s="339"/>
      <c r="P1047" s="339"/>
      <c r="AF1047" s="568"/>
    </row>
    <row r="1048" spans="3:32" s="562" customFormat="1" ht="30" customHeight="1" x14ac:dyDescent="0.2">
      <c r="C1048" s="339"/>
      <c r="H1048" s="339"/>
      <c r="M1048" s="609"/>
      <c r="N1048" s="339"/>
      <c r="P1048" s="339"/>
      <c r="AF1048" s="568"/>
    </row>
    <row r="1049" spans="3:32" s="562" customFormat="1" ht="30" customHeight="1" x14ac:dyDescent="0.2">
      <c r="C1049" s="339"/>
      <c r="H1049" s="339"/>
      <c r="M1049" s="609"/>
      <c r="N1049" s="339"/>
      <c r="P1049" s="339"/>
      <c r="AF1049" s="568"/>
    </row>
    <row r="1050" spans="3:32" s="562" customFormat="1" ht="30" customHeight="1" x14ac:dyDescent="0.2">
      <c r="C1050" s="339"/>
      <c r="H1050" s="339"/>
      <c r="M1050" s="609"/>
      <c r="N1050" s="339"/>
      <c r="P1050" s="339"/>
      <c r="AF1050" s="568"/>
    </row>
    <row r="1051" spans="3:32" s="562" customFormat="1" ht="30" customHeight="1" x14ac:dyDescent="0.2">
      <c r="C1051" s="339"/>
      <c r="H1051" s="339"/>
      <c r="M1051" s="609"/>
      <c r="N1051" s="339"/>
      <c r="P1051" s="339"/>
      <c r="AF1051" s="568"/>
    </row>
    <row r="1052" spans="3:32" s="562" customFormat="1" ht="30" customHeight="1" x14ac:dyDescent="0.2">
      <c r="C1052" s="339"/>
      <c r="H1052" s="339"/>
      <c r="M1052" s="609"/>
      <c r="N1052" s="339"/>
      <c r="P1052" s="339"/>
      <c r="AF1052" s="568"/>
    </row>
    <row r="1053" spans="3:32" s="562" customFormat="1" ht="30" customHeight="1" x14ac:dyDescent="0.2">
      <c r="C1053" s="339"/>
      <c r="H1053" s="339"/>
      <c r="M1053" s="609"/>
      <c r="N1053" s="339"/>
      <c r="P1053" s="339"/>
      <c r="AF1053" s="568"/>
    </row>
    <row r="1054" spans="3:32" s="562" customFormat="1" ht="30" customHeight="1" x14ac:dyDescent="0.2">
      <c r="C1054" s="339"/>
      <c r="H1054" s="339"/>
      <c r="M1054" s="609"/>
      <c r="N1054" s="339"/>
      <c r="P1054" s="339"/>
      <c r="AF1054" s="568"/>
    </row>
    <row r="1055" spans="3:32" s="562" customFormat="1" ht="30" customHeight="1" x14ac:dyDescent="0.2">
      <c r="C1055" s="339"/>
      <c r="H1055" s="339"/>
      <c r="M1055" s="609"/>
      <c r="N1055" s="339"/>
      <c r="P1055" s="339"/>
      <c r="AF1055" s="568"/>
    </row>
    <row r="1056" spans="3:32" s="562" customFormat="1" ht="30" customHeight="1" x14ac:dyDescent="0.2">
      <c r="C1056" s="339"/>
      <c r="H1056" s="339"/>
      <c r="M1056" s="609"/>
      <c r="N1056" s="339"/>
      <c r="P1056" s="339"/>
      <c r="AF1056" s="568"/>
    </row>
    <row r="1057" spans="3:32" s="562" customFormat="1" ht="30" customHeight="1" x14ac:dyDescent="0.2">
      <c r="C1057" s="339"/>
      <c r="H1057" s="339"/>
      <c r="M1057" s="609"/>
      <c r="N1057" s="339"/>
      <c r="P1057" s="339"/>
      <c r="AF1057" s="568"/>
    </row>
    <row r="1058" spans="3:32" s="562" customFormat="1" ht="30" customHeight="1" x14ac:dyDescent="0.2">
      <c r="C1058" s="339"/>
      <c r="H1058" s="339"/>
      <c r="M1058" s="609"/>
      <c r="N1058" s="339"/>
      <c r="P1058" s="339"/>
      <c r="AF1058" s="568"/>
    </row>
    <row r="1059" spans="3:32" s="562" customFormat="1" ht="30" customHeight="1" x14ac:dyDescent="0.2">
      <c r="C1059" s="339"/>
      <c r="H1059" s="339"/>
      <c r="M1059" s="609"/>
      <c r="N1059" s="339"/>
      <c r="P1059" s="339"/>
      <c r="AF1059" s="568"/>
    </row>
    <row r="1060" spans="3:32" s="562" customFormat="1" ht="30" customHeight="1" x14ac:dyDescent="0.2">
      <c r="C1060" s="339"/>
      <c r="H1060" s="339"/>
      <c r="M1060" s="609"/>
      <c r="N1060" s="339"/>
      <c r="P1060" s="339"/>
      <c r="AF1060" s="568"/>
    </row>
    <row r="1061" spans="3:32" s="562" customFormat="1" ht="30" customHeight="1" x14ac:dyDescent="0.2">
      <c r="C1061" s="339"/>
      <c r="H1061" s="339"/>
      <c r="M1061" s="609"/>
      <c r="N1061" s="339"/>
      <c r="P1061" s="339"/>
      <c r="AF1061" s="568"/>
    </row>
    <row r="1062" spans="3:32" s="562" customFormat="1" ht="30" customHeight="1" x14ac:dyDescent="0.2">
      <c r="C1062" s="339"/>
      <c r="H1062" s="339"/>
      <c r="M1062" s="609"/>
      <c r="N1062" s="339"/>
      <c r="P1062" s="339"/>
      <c r="AF1062" s="568"/>
    </row>
    <row r="1063" spans="3:32" s="562" customFormat="1" ht="30" customHeight="1" x14ac:dyDescent="0.2">
      <c r="C1063" s="339"/>
      <c r="H1063" s="339"/>
      <c r="M1063" s="609"/>
      <c r="N1063" s="339"/>
      <c r="P1063" s="339"/>
      <c r="AF1063" s="568"/>
    </row>
    <row r="1064" spans="3:32" s="562" customFormat="1" ht="30" customHeight="1" x14ac:dyDescent="0.2">
      <c r="C1064" s="339"/>
      <c r="H1064" s="339"/>
      <c r="M1064" s="609"/>
      <c r="N1064" s="339"/>
      <c r="P1064" s="339"/>
      <c r="AF1064" s="568"/>
    </row>
    <row r="1065" spans="3:32" s="562" customFormat="1" ht="30" customHeight="1" x14ac:dyDescent="0.2">
      <c r="C1065" s="339"/>
      <c r="H1065" s="339"/>
      <c r="M1065" s="609"/>
      <c r="N1065" s="339"/>
      <c r="P1065" s="339"/>
      <c r="AF1065" s="568"/>
    </row>
    <row r="1066" spans="3:32" s="562" customFormat="1" ht="30" customHeight="1" x14ac:dyDescent="0.2">
      <c r="C1066" s="339"/>
      <c r="H1066" s="339"/>
      <c r="M1066" s="609"/>
      <c r="N1066" s="339"/>
      <c r="P1066" s="339"/>
      <c r="AF1066" s="568"/>
    </row>
    <row r="1067" spans="3:32" s="562" customFormat="1" ht="30" customHeight="1" x14ac:dyDescent="0.2">
      <c r="C1067" s="339"/>
      <c r="H1067" s="339"/>
      <c r="M1067" s="609"/>
      <c r="N1067" s="339"/>
      <c r="P1067" s="339"/>
      <c r="AF1067" s="568"/>
    </row>
    <row r="1068" spans="3:32" s="562" customFormat="1" ht="30" customHeight="1" x14ac:dyDescent="0.2">
      <c r="C1068" s="339"/>
      <c r="H1068" s="339"/>
      <c r="M1068" s="609"/>
      <c r="N1068" s="339"/>
      <c r="P1068" s="339"/>
      <c r="AF1068" s="568"/>
    </row>
    <row r="1069" spans="3:32" s="562" customFormat="1" ht="30" customHeight="1" x14ac:dyDescent="0.2">
      <c r="C1069" s="339"/>
      <c r="H1069" s="339"/>
      <c r="M1069" s="609"/>
      <c r="N1069" s="339"/>
      <c r="P1069" s="339"/>
      <c r="AF1069" s="568"/>
    </row>
    <row r="1070" spans="3:32" s="562" customFormat="1" ht="30" customHeight="1" x14ac:dyDescent="0.2">
      <c r="C1070" s="339"/>
      <c r="H1070" s="339"/>
      <c r="M1070" s="609"/>
      <c r="N1070" s="339"/>
      <c r="P1070" s="339"/>
      <c r="AF1070" s="568"/>
    </row>
    <row r="1071" spans="3:32" s="562" customFormat="1" ht="30" customHeight="1" x14ac:dyDescent="0.2">
      <c r="C1071" s="339"/>
      <c r="H1071" s="339"/>
      <c r="M1071" s="609"/>
      <c r="N1071" s="339"/>
      <c r="P1071" s="339"/>
      <c r="AF1071" s="568"/>
    </row>
    <row r="1072" spans="3:32" s="562" customFormat="1" ht="30" customHeight="1" x14ac:dyDescent="0.2">
      <c r="C1072" s="339"/>
      <c r="H1072" s="339"/>
      <c r="M1072" s="609"/>
      <c r="N1072" s="339"/>
      <c r="P1072" s="339"/>
      <c r="AF1072" s="568"/>
    </row>
    <row r="1073" spans="3:32" s="562" customFormat="1" ht="30" customHeight="1" x14ac:dyDescent="0.2">
      <c r="C1073" s="339"/>
      <c r="H1073" s="339"/>
      <c r="M1073" s="609"/>
      <c r="N1073" s="339"/>
      <c r="P1073" s="339"/>
      <c r="AF1073" s="568"/>
    </row>
    <row r="1074" spans="3:32" s="562" customFormat="1" ht="30" customHeight="1" x14ac:dyDescent="0.2">
      <c r="C1074" s="339"/>
      <c r="H1074" s="339"/>
      <c r="M1074" s="609"/>
      <c r="N1074" s="339"/>
      <c r="P1074" s="339"/>
      <c r="AF1074" s="568"/>
    </row>
    <row r="1075" spans="3:32" s="562" customFormat="1" ht="30" customHeight="1" x14ac:dyDescent="0.2">
      <c r="C1075" s="339"/>
      <c r="H1075" s="339"/>
      <c r="M1075" s="609"/>
      <c r="N1075" s="339"/>
      <c r="P1075" s="339"/>
      <c r="AF1075" s="568"/>
    </row>
    <row r="1076" spans="3:32" s="562" customFormat="1" ht="30" customHeight="1" x14ac:dyDescent="0.2">
      <c r="C1076" s="339"/>
      <c r="H1076" s="339"/>
      <c r="M1076" s="609"/>
      <c r="N1076" s="339"/>
      <c r="P1076" s="339"/>
      <c r="AF1076" s="568"/>
    </row>
    <row r="1077" spans="3:32" s="562" customFormat="1" ht="30" customHeight="1" x14ac:dyDescent="0.2">
      <c r="C1077" s="339"/>
      <c r="H1077" s="339"/>
      <c r="M1077" s="609"/>
      <c r="N1077" s="339"/>
      <c r="P1077" s="339"/>
      <c r="AF1077" s="568"/>
    </row>
    <row r="1078" spans="3:32" s="562" customFormat="1" ht="30" customHeight="1" x14ac:dyDescent="0.2">
      <c r="C1078" s="339"/>
      <c r="H1078" s="339"/>
      <c r="M1078" s="609"/>
      <c r="N1078" s="339"/>
      <c r="P1078" s="339"/>
      <c r="AF1078" s="568"/>
    </row>
    <row r="1079" spans="3:32" s="562" customFormat="1" ht="30" customHeight="1" x14ac:dyDescent="0.2">
      <c r="C1079" s="339"/>
      <c r="H1079" s="339"/>
      <c r="M1079" s="609"/>
      <c r="N1079" s="339"/>
      <c r="P1079" s="339"/>
      <c r="AF1079" s="568"/>
    </row>
    <row r="1080" spans="3:32" s="562" customFormat="1" ht="30" customHeight="1" x14ac:dyDescent="0.2">
      <c r="C1080" s="339"/>
      <c r="H1080" s="339"/>
      <c r="M1080" s="609"/>
      <c r="N1080" s="339"/>
      <c r="P1080" s="339"/>
      <c r="AF1080" s="568"/>
    </row>
    <row r="1081" spans="3:32" s="562" customFormat="1" ht="30" customHeight="1" x14ac:dyDescent="0.2">
      <c r="C1081" s="339"/>
      <c r="H1081" s="339"/>
      <c r="M1081" s="609"/>
      <c r="N1081" s="339"/>
      <c r="P1081" s="339"/>
      <c r="AF1081" s="568"/>
    </row>
    <row r="1082" spans="3:32" s="562" customFormat="1" ht="30" customHeight="1" x14ac:dyDescent="0.2">
      <c r="C1082" s="339"/>
      <c r="H1082" s="339"/>
      <c r="M1082" s="609"/>
      <c r="N1082" s="339"/>
      <c r="P1082" s="339"/>
      <c r="AF1082" s="568"/>
    </row>
    <row r="1083" spans="3:32" s="562" customFormat="1" ht="30" customHeight="1" x14ac:dyDescent="0.2">
      <c r="C1083" s="339"/>
      <c r="H1083" s="339"/>
      <c r="M1083" s="609"/>
      <c r="N1083" s="339"/>
      <c r="P1083" s="339"/>
      <c r="AF1083" s="568"/>
    </row>
    <row r="1084" spans="3:32" s="562" customFormat="1" ht="30" customHeight="1" x14ac:dyDescent="0.2">
      <c r="C1084" s="339"/>
      <c r="H1084" s="339"/>
      <c r="M1084" s="609"/>
      <c r="N1084" s="339"/>
      <c r="P1084" s="339"/>
      <c r="AF1084" s="568"/>
    </row>
    <row r="1085" spans="3:32" s="562" customFormat="1" ht="30" customHeight="1" x14ac:dyDescent="0.2">
      <c r="C1085" s="339"/>
      <c r="H1085" s="339"/>
      <c r="M1085" s="609"/>
      <c r="N1085" s="339"/>
      <c r="P1085" s="339"/>
      <c r="AF1085" s="568"/>
    </row>
    <row r="1086" spans="3:32" s="562" customFormat="1" ht="30" customHeight="1" x14ac:dyDescent="0.2">
      <c r="C1086" s="339"/>
      <c r="H1086" s="339"/>
      <c r="M1086" s="609"/>
      <c r="N1086" s="339"/>
      <c r="P1086" s="339"/>
      <c r="AF1086" s="568"/>
    </row>
    <row r="1087" spans="3:32" s="562" customFormat="1" ht="30" customHeight="1" x14ac:dyDescent="0.2">
      <c r="C1087" s="339"/>
      <c r="H1087" s="339"/>
      <c r="M1087" s="609"/>
      <c r="N1087" s="339"/>
      <c r="P1087" s="339"/>
      <c r="AF1087" s="568"/>
    </row>
    <row r="1088" spans="3:32" s="562" customFormat="1" ht="30" customHeight="1" x14ac:dyDescent="0.2">
      <c r="C1088" s="339"/>
      <c r="H1088" s="339"/>
      <c r="M1088" s="609"/>
      <c r="N1088" s="339"/>
      <c r="P1088" s="339"/>
      <c r="AF1088" s="568"/>
    </row>
    <row r="1089" spans="3:32" s="562" customFormat="1" ht="30" customHeight="1" x14ac:dyDescent="0.2">
      <c r="C1089" s="339"/>
      <c r="H1089" s="339"/>
      <c r="M1089" s="609"/>
      <c r="N1089" s="339"/>
      <c r="P1089" s="339"/>
      <c r="AF1089" s="568"/>
    </row>
    <row r="1090" spans="3:32" s="562" customFormat="1" ht="30" customHeight="1" x14ac:dyDescent="0.2">
      <c r="C1090" s="339"/>
      <c r="H1090" s="339"/>
      <c r="M1090" s="609"/>
      <c r="N1090" s="339"/>
      <c r="P1090" s="339"/>
      <c r="AF1090" s="568"/>
    </row>
    <row r="1091" spans="3:32" s="562" customFormat="1" ht="30" customHeight="1" x14ac:dyDescent="0.2">
      <c r="C1091" s="339"/>
      <c r="H1091" s="339"/>
      <c r="M1091" s="609"/>
      <c r="N1091" s="339"/>
      <c r="P1091" s="339"/>
      <c r="AF1091" s="568"/>
    </row>
    <row r="1092" spans="3:32" s="562" customFormat="1" ht="30" customHeight="1" x14ac:dyDescent="0.2">
      <c r="C1092" s="339"/>
      <c r="H1092" s="339"/>
      <c r="M1092" s="609"/>
      <c r="N1092" s="339"/>
      <c r="P1092" s="339"/>
      <c r="AF1092" s="568"/>
    </row>
    <row r="1093" spans="3:32" s="562" customFormat="1" ht="30" customHeight="1" x14ac:dyDescent="0.2">
      <c r="C1093" s="339"/>
      <c r="H1093" s="339"/>
      <c r="M1093" s="609"/>
      <c r="N1093" s="339"/>
      <c r="P1093" s="339"/>
      <c r="AF1093" s="568"/>
    </row>
    <row r="1094" spans="3:32" s="562" customFormat="1" ht="30" customHeight="1" x14ac:dyDescent="0.2">
      <c r="C1094" s="339"/>
      <c r="H1094" s="339"/>
      <c r="M1094" s="609"/>
      <c r="N1094" s="339"/>
      <c r="P1094" s="339"/>
      <c r="AF1094" s="568"/>
    </row>
    <row r="1095" spans="3:32" s="562" customFormat="1" ht="30" customHeight="1" x14ac:dyDescent="0.2">
      <c r="C1095" s="339"/>
      <c r="H1095" s="339"/>
      <c r="M1095" s="609"/>
      <c r="N1095" s="339"/>
      <c r="P1095" s="339"/>
      <c r="AF1095" s="568"/>
    </row>
    <row r="1096" spans="3:32" s="562" customFormat="1" ht="30" customHeight="1" x14ac:dyDescent="0.2">
      <c r="C1096" s="339"/>
      <c r="H1096" s="339"/>
      <c r="M1096" s="609"/>
      <c r="N1096" s="339"/>
      <c r="P1096" s="339"/>
      <c r="AF1096" s="568"/>
    </row>
    <row r="1097" spans="3:32" s="562" customFormat="1" ht="30" customHeight="1" x14ac:dyDescent="0.2">
      <c r="C1097" s="339"/>
      <c r="H1097" s="339"/>
      <c r="M1097" s="609"/>
      <c r="N1097" s="339"/>
      <c r="P1097" s="339"/>
      <c r="AF1097" s="568"/>
    </row>
    <row r="1098" spans="3:32" s="562" customFormat="1" ht="30" customHeight="1" x14ac:dyDescent="0.2">
      <c r="C1098" s="339"/>
      <c r="H1098" s="339"/>
      <c r="M1098" s="609"/>
      <c r="N1098" s="339"/>
      <c r="P1098" s="339"/>
      <c r="AF1098" s="568"/>
    </row>
    <row r="1099" spans="3:32" s="562" customFormat="1" ht="30" customHeight="1" x14ac:dyDescent="0.2">
      <c r="C1099" s="339"/>
      <c r="H1099" s="339"/>
      <c r="M1099" s="609"/>
      <c r="N1099" s="339"/>
      <c r="P1099" s="339"/>
      <c r="AF1099" s="568"/>
    </row>
    <row r="1100" spans="3:32" s="562" customFormat="1" ht="30" customHeight="1" x14ac:dyDescent="0.2">
      <c r="C1100" s="339"/>
      <c r="H1100" s="339"/>
      <c r="M1100" s="609"/>
      <c r="N1100" s="339"/>
      <c r="P1100" s="339"/>
      <c r="AF1100" s="568"/>
    </row>
    <row r="1101" spans="3:32" s="562" customFormat="1" ht="30" customHeight="1" x14ac:dyDescent="0.2">
      <c r="C1101" s="339"/>
      <c r="H1101" s="339"/>
      <c r="M1101" s="609"/>
      <c r="N1101" s="339"/>
      <c r="P1101" s="339"/>
      <c r="AF1101" s="568"/>
    </row>
    <row r="1102" spans="3:32" s="562" customFormat="1" ht="30" customHeight="1" x14ac:dyDescent="0.2">
      <c r="C1102" s="339"/>
      <c r="H1102" s="339"/>
      <c r="M1102" s="609"/>
      <c r="N1102" s="339"/>
      <c r="P1102" s="339"/>
      <c r="AF1102" s="568"/>
    </row>
    <row r="1103" spans="3:32" s="562" customFormat="1" ht="30" customHeight="1" x14ac:dyDescent="0.2">
      <c r="C1103" s="339"/>
      <c r="H1103" s="339"/>
      <c r="M1103" s="609"/>
      <c r="N1103" s="339"/>
      <c r="P1103" s="339"/>
      <c r="AF1103" s="568"/>
    </row>
    <row r="1104" spans="3:32" s="562" customFormat="1" ht="30" customHeight="1" x14ac:dyDescent="0.2">
      <c r="C1104" s="339"/>
      <c r="H1104" s="339"/>
      <c r="M1104" s="609"/>
      <c r="N1104" s="339"/>
      <c r="P1104" s="339"/>
      <c r="AF1104" s="568"/>
    </row>
    <row r="1105" spans="3:32" s="562" customFormat="1" ht="30" customHeight="1" x14ac:dyDescent="0.2">
      <c r="C1105" s="339"/>
      <c r="H1105" s="339"/>
      <c r="M1105" s="609"/>
      <c r="N1105" s="339"/>
      <c r="P1105" s="339"/>
      <c r="AF1105" s="568"/>
    </row>
    <row r="1106" spans="3:32" s="562" customFormat="1" ht="30" customHeight="1" x14ac:dyDescent="0.2">
      <c r="C1106" s="339"/>
      <c r="H1106" s="339"/>
      <c r="M1106" s="609"/>
      <c r="N1106" s="339"/>
      <c r="P1106" s="339"/>
      <c r="AF1106" s="568"/>
    </row>
    <row r="1107" spans="3:32" s="562" customFormat="1" ht="30" customHeight="1" x14ac:dyDescent="0.2">
      <c r="C1107" s="339"/>
      <c r="H1107" s="339"/>
      <c r="M1107" s="609"/>
      <c r="N1107" s="339"/>
      <c r="P1107" s="339"/>
      <c r="AF1107" s="568"/>
    </row>
    <row r="1108" spans="3:32" s="562" customFormat="1" ht="30" customHeight="1" x14ac:dyDescent="0.2">
      <c r="C1108" s="339"/>
      <c r="H1108" s="339"/>
      <c r="M1108" s="609"/>
      <c r="N1108" s="339"/>
      <c r="P1108" s="339"/>
      <c r="AF1108" s="568"/>
    </row>
    <row r="1109" spans="3:32" s="562" customFormat="1" ht="30" customHeight="1" x14ac:dyDescent="0.2">
      <c r="C1109" s="339"/>
      <c r="H1109" s="339"/>
      <c r="M1109" s="609"/>
      <c r="N1109" s="339"/>
      <c r="P1109" s="339"/>
      <c r="AF1109" s="568"/>
    </row>
    <row r="1110" spans="3:32" s="562" customFormat="1" ht="30" customHeight="1" x14ac:dyDescent="0.2">
      <c r="C1110" s="339"/>
      <c r="H1110" s="339"/>
      <c r="M1110" s="609"/>
      <c r="N1110" s="339"/>
      <c r="P1110" s="339"/>
      <c r="AF1110" s="568"/>
    </row>
    <row r="1111" spans="3:32" s="562" customFormat="1" ht="30" customHeight="1" x14ac:dyDescent="0.2">
      <c r="C1111" s="339"/>
      <c r="H1111" s="339"/>
      <c r="M1111" s="609"/>
      <c r="N1111" s="339"/>
      <c r="P1111" s="339"/>
      <c r="AF1111" s="568"/>
    </row>
    <row r="1112" spans="3:32" s="562" customFormat="1" ht="30" customHeight="1" x14ac:dyDescent="0.2">
      <c r="C1112" s="339"/>
      <c r="H1112" s="339"/>
      <c r="M1112" s="609"/>
      <c r="N1112" s="339"/>
      <c r="P1112" s="339"/>
      <c r="AF1112" s="568"/>
    </row>
    <row r="1113" spans="3:32" s="562" customFormat="1" ht="30" customHeight="1" x14ac:dyDescent="0.2">
      <c r="C1113" s="339"/>
      <c r="H1113" s="339"/>
      <c r="M1113" s="609"/>
      <c r="N1113" s="339"/>
      <c r="P1113" s="339"/>
      <c r="AF1113" s="568"/>
    </row>
    <row r="1114" spans="3:32" s="562" customFormat="1" ht="30" customHeight="1" x14ac:dyDescent="0.2">
      <c r="C1114" s="339"/>
      <c r="H1114" s="339"/>
      <c r="M1114" s="609"/>
      <c r="N1114" s="339"/>
      <c r="P1114" s="339"/>
      <c r="AF1114" s="568"/>
    </row>
    <row r="1115" spans="3:32" s="562" customFormat="1" ht="30" customHeight="1" x14ac:dyDescent="0.2">
      <c r="C1115" s="339"/>
      <c r="H1115" s="339"/>
      <c r="M1115" s="609"/>
      <c r="N1115" s="339"/>
      <c r="P1115" s="339"/>
      <c r="AF1115" s="568"/>
    </row>
    <row r="1116" spans="3:32" s="562" customFormat="1" ht="30" customHeight="1" x14ac:dyDescent="0.2">
      <c r="C1116" s="339"/>
      <c r="H1116" s="339"/>
      <c r="M1116" s="609"/>
      <c r="N1116" s="339"/>
      <c r="P1116" s="339"/>
      <c r="AF1116" s="568"/>
    </row>
    <row r="1117" spans="3:32" s="562" customFormat="1" ht="30" customHeight="1" x14ac:dyDescent="0.2">
      <c r="C1117" s="339"/>
      <c r="H1117" s="339"/>
      <c r="M1117" s="609"/>
      <c r="N1117" s="339"/>
      <c r="P1117" s="339"/>
      <c r="AF1117" s="568"/>
    </row>
    <row r="1118" spans="3:32" s="562" customFormat="1" ht="30" customHeight="1" x14ac:dyDescent="0.2">
      <c r="C1118" s="339"/>
      <c r="H1118" s="339"/>
      <c r="M1118" s="609"/>
      <c r="N1118" s="339"/>
      <c r="P1118" s="339"/>
      <c r="AF1118" s="568"/>
    </row>
    <row r="1119" spans="3:32" s="562" customFormat="1" ht="30" customHeight="1" x14ac:dyDescent="0.2">
      <c r="C1119" s="339"/>
      <c r="H1119" s="339"/>
      <c r="M1119" s="609"/>
      <c r="N1119" s="339"/>
      <c r="P1119" s="339"/>
      <c r="AF1119" s="568"/>
    </row>
    <row r="1120" spans="3:32" s="562" customFormat="1" ht="30" customHeight="1" x14ac:dyDescent="0.2">
      <c r="C1120" s="339"/>
      <c r="H1120" s="339"/>
      <c r="M1120" s="609"/>
      <c r="N1120" s="339"/>
      <c r="P1120" s="339"/>
      <c r="AF1120" s="568"/>
    </row>
    <row r="1121" spans="3:32" s="562" customFormat="1" ht="30" customHeight="1" x14ac:dyDescent="0.2">
      <c r="C1121" s="339"/>
      <c r="H1121" s="339"/>
      <c r="M1121" s="609"/>
      <c r="N1121" s="339"/>
      <c r="P1121" s="339"/>
      <c r="AF1121" s="568"/>
    </row>
    <row r="1122" spans="3:32" s="562" customFormat="1" ht="30" customHeight="1" x14ac:dyDescent="0.2">
      <c r="C1122" s="339"/>
      <c r="H1122" s="339"/>
      <c r="M1122" s="609"/>
      <c r="N1122" s="339"/>
      <c r="P1122" s="339"/>
      <c r="AF1122" s="568"/>
    </row>
    <row r="1123" spans="3:32" s="562" customFormat="1" ht="30" customHeight="1" x14ac:dyDescent="0.2">
      <c r="C1123" s="339"/>
      <c r="H1123" s="339"/>
      <c r="M1123" s="609"/>
      <c r="N1123" s="339"/>
      <c r="P1123" s="339"/>
      <c r="AF1123" s="568"/>
    </row>
    <row r="1124" spans="3:32" s="562" customFormat="1" ht="30" customHeight="1" x14ac:dyDescent="0.2">
      <c r="C1124" s="339"/>
      <c r="H1124" s="339"/>
      <c r="M1124" s="609"/>
      <c r="N1124" s="339"/>
      <c r="P1124" s="339"/>
      <c r="AF1124" s="568"/>
    </row>
    <row r="1125" spans="3:32" s="562" customFormat="1" ht="30" customHeight="1" x14ac:dyDescent="0.2">
      <c r="C1125" s="339"/>
      <c r="H1125" s="339"/>
      <c r="M1125" s="609"/>
      <c r="N1125" s="339"/>
      <c r="P1125" s="339"/>
      <c r="AF1125" s="568"/>
    </row>
    <row r="1126" spans="3:32" s="562" customFormat="1" ht="30" customHeight="1" x14ac:dyDescent="0.2">
      <c r="C1126" s="339"/>
      <c r="H1126" s="339"/>
      <c r="M1126" s="609"/>
      <c r="N1126" s="339"/>
      <c r="P1126" s="339"/>
      <c r="AF1126" s="568"/>
    </row>
    <row r="1127" spans="3:32" s="562" customFormat="1" ht="30" customHeight="1" x14ac:dyDescent="0.2">
      <c r="C1127" s="339"/>
      <c r="H1127" s="339"/>
      <c r="M1127" s="609"/>
      <c r="N1127" s="339"/>
      <c r="P1127" s="339"/>
      <c r="AF1127" s="568"/>
    </row>
    <row r="1128" spans="3:32" s="562" customFormat="1" ht="30" customHeight="1" x14ac:dyDescent="0.2">
      <c r="C1128" s="339"/>
      <c r="H1128" s="339"/>
      <c r="M1128" s="609"/>
      <c r="N1128" s="339"/>
      <c r="P1128" s="339"/>
      <c r="AF1128" s="568"/>
    </row>
    <row r="1129" spans="3:32" s="562" customFormat="1" ht="30" customHeight="1" x14ac:dyDescent="0.2">
      <c r="C1129" s="339"/>
      <c r="H1129" s="339"/>
      <c r="M1129" s="609"/>
      <c r="N1129" s="339"/>
      <c r="P1129" s="339"/>
      <c r="AF1129" s="568"/>
    </row>
    <row r="1130" spans="3:32" s="562" customFormat="1" ht="30" customHeight="1" x14ac:dyDescent="0.2">
      <c r="C1130" s="339"/>
      <c r="H1130" s="339"/>
      <c r="M1130" s="609"/>
      <c r="N1130" s="339"/>
      <c r="P1130" s="339"/>
      <c r="AF1130" s="568"/>
    </row>
    <row r="1131" spans="3:32" s="562" customFormat="1" ht="30" customHeight="1" x14ac:dyDescent="0.2">
      <c r="C1131" s="339"/>
      <c r="H1131" s="339"/>
      <c r="M1131" s="609"/>
      <c r="N1131" s="339"/>
      <c r="P1131" s="339"/>
      <c r="AF1131" s="568"/>
    </row>
    <row r="1132" spans="3:32" s="562" customFormat="1" ht="30" customHeight="1" x14ac:dyDescent="0.2">
      <c r="C1132" s="339"/>
      <c r="H1132" s="339"/>
      <c r="M1132" s="609"/>
      <c r="N1132" s="339"/>
      <c r="P1132" s="339"/>
      <c r="AF1132" s="568"/>
    </row>
    <row r="1133" spans="3:32" s="562" customFormat="1" ht="30" customHeight="1" x14ac:dyDescent="0.2">
      <c r="C1133" s="339"/>
      <c r="H1133" s="339"/>
      <c r="M1133" s="609"/>
      <c r="N1133" s="339"/>
      <c r="P1133" s="339"/>
      <c r="AF1133" s="568"/>
    </row>
    <row r="1134" spans="3:32" s="562" customFormat="1" ht="30" customHeight="1" x14ac:dyDescent="0.2">
      <c r="C1134" s="339"/>
      <c r="H1134" s="339"/>
      <c r="M1134" s="609"/>
      <c r="N1134" s="339"/>
      <c r="P1134" s="339"/>
      <c r="AF1134" s="568"/>
    </row>
    <row r="1135" spans="3:32" s="562" customFormat="1" ht="30" customHeight="1" x14ac:dyDescent="0.2">
      <c r="C1135" s="339"/>
      <c r="H1135" s="339"/>
      <c r="M1135" s="609"/>
      <c r="N1135" s="339"/>
      <c r="P1135" s="339"/>
      <c r="AF1135" s="568"/>
    </row>
    <row r="1136" spans="3:32" s="562" customFormat="1" ht="30" customHeight="1" x14ac:dyDescent="0.2">
      <c r="C1136" s="339"/>
      <c r="H1136" s="339"/>
      <c r="M1136" s="609"/>
      <c r="N1136" s="339"/>
      <c r="P1136" s="339"/>
      <c r="AF1136" s="568"/>
    </row>
    <row r="1137" spans="3:32" s="562" customFormat="1" ht="30" customHeight="1" x14ac:dyDescent="0.2">
      <c r="C1137" s="339"/>
      <c r="H1137" s="339"/>
      <c r="M1137" s="609"/>
      <c r="N1137" s="339"/>
      <c r="P1137" s="339"/>
      <c r="AF1137" s="568"/>
    </row>
    <row r="1138" spans="3:32" s="562" customFormat="1" ht="30" customHeight="1" x14ac:dyDescent="0.2">
      <c r="C1138" s="339"/>
      <c r="H1138" s="339"/>
      <c r="M1138" s="609"/>
      <c r="N1138" s="339"/>
      <c r="P1138" s="339"/>
      <c r="AF1138" s="568"/>
    </row>
    <row r="1139" spans="3:32" s="562" customFormat="1" ht="30" customHeight="1" x14ac:dyDescent="0.2">
      <c r="C1139" s="339"/>
      <c r="H1139" s="339"/>
      <c r="M1139" s="609"/>
      <c r="N1139" s="339"/>
      <c r="P1139" s="339"/>
      <c r="AF1139" s="568"/>
    </row>
    <row r="1140" spans="3:32" s="562" customFormat="1" ht="30" customHeight="1" x14ac:dyDescent="0.2">
      <c r="C1140" s="339"/>
      <c r="H1140" s="339"/>
      <c r="M1140" s="609"/>
      <c r="N1140" s="339"/>
      <c r="P1140" s="339"/>
      <c r="AF1140" s="568"/>
    </row>
    <row r="1141" spans="3:32" s="562" customFormat="1" ht="30" customHeight="1" x14ac:dyDescent="0.2">
      <c r="C1141" s="339"/>
      <c r="H1141" s="339"/>
      <c r="M1141" s="609"/>
      <c r="N1141" s="339"/>
      <c r="P1141" s="339"/>
      <c r="AF1141" s="568"/>
    </row>
    <row r="1142" spans="3:32" s="562" customFormat="1" ht="30" customHeight="1" x14ac:dyDescent="0.2">
      <c r="C1142" s="339"/>
      <c r="H1142" s="339"/>
      <c r="M1142" s="609"/>
      <c r="N1142" s="339"/>
      <c r="P1142" s="339"/>
      <c r="AF1142" s="568"/>
    </row>
    <row r="1143" spans="3:32" s="562" customFormat="1" ht="30" customHeight="1" x14ac:dyDescent="0.2">
      <c r="C1143" s="339"/>
      <c r="H1143" s="339"/>
      <c r="M1143" s="609"/>
      <c r="N1143" s="339"/>
      <c r="P1143" s="339"/>
      <c r="AF1143" s="568"/>
    </row>
    <row r="1144" spans="3:32" s="562" customFormat="1" ht="30" customHeight="1" x14ac:dyDescent="0.2">
      <c r="C1144" s="339"/>
      <c r="H1144" s="339"/>
      <c r="M1144" s="609"/>
      <c r="N1144" s="339"/>
      <c r="P1144" s="339"/>
      <c r="AF1144" s="568"/>
    </row>
    <row r="1145" spans="3:32" s="562" customFormat="1" ht="30" customHeight="1" x14ac:dyDescent="0.2">
      <c r="C1145" s="339"/>
      <c r="H1145" s="339"/>
      <c r="M1145" s="609"/>
      <c r="N1145" s="339"/>
      <c r="P1145" s="339"/>
      <c r="AF1145" s="568"/>
    </row>
    <row r="1146" spans="3:32" s="562" customFormat="1" ht="30" customHeight="1" x14ac:dyDescent="0.2">
      <c r="C1146" s="339"/>
      <c r="H1146" s="339"/>
      <c r="M1146" s="609"/>
      <c r="N1146" s="339"/>
      <c r="P1146" s="339"/>
      <c r="AF1146" s="568"/>
    </row>
    <row r="1147" spans="3:32" s="562" customFormat="1" ht="30" customHeight="1" x14ac:dyDescent="0.2">
      <c r="C1147" s="339"/>
      <c r="H1147" s="339"/>
      <c r="M1147" s="609"/>
      <c r="N1147" s="339"/>
      <c r="P1147" s="339"/>
      <c r="AF1147" s="568"/>
    </row>
    <row r="1148" spans="3:32" s="562" customFormat="1" ht="30" customHeight="1" x14ac:dyDescent="0.2">
      <c r="C1148" s="339"/>
      <c r="H1148" s="339"/>
      <c r="M1148" s="609"/>
      <c r="N1148" s="339"/>
      <c r="P1148" s="339"/>
      <c r="AF1148" s="568"/>
    </row>
    <row r="1149" spans="3:32" s="562" customFormat="1" ht="30" customHeight="1" x14ac:dyDescent="0.2">
      <c r="C1149" s="339"/>
      <c r="H1149" s="339"/>
      <c r="M1149" s="609"/>
      <c r="N1149" s="339"/>
      <c r="P1149" s="339"/>
      <c r="AF1149" s="568"/>
    </row>
    <row r="1150" spans="3:32" s="562" customFormat="1" ht="30" customHeight="1" x14ac:dyDescent="0.2">
      <c r="C1150" s="339"/>
      <c r="H1150" s="339"/>
      <c r="M1150" s="609"/>
      <c r="N1150" s="339"/>
      <c r="P1150" s="339"/>
      <c r="AF1150" s="568"/>
    </row>
    <row r="1151" spans="3:32" s="562" customFormat="1" ht="30" customHeight="1" x14ac:dyDescent="0.2">
      <c r="C1151" s="339"/>
      <c r="H1151" s="339"/>
      <c r="M1151" s="609"/>
      <c r="N1151" s="339"/>
      <c r="P1151" s="339"/>
      <c r="AF1151" s="568"/>
    </row>
    <row r="1152" spans="3:32" s="562" customFormat="1" ht="30" customHeight="1" x14ac:dyDescent="0.2">
      <c r="C1152" s="339"/>
      <c r="H1152" s="339"/>
      <c r="M1152" s="609"/>
      <c r="N1152" s="339"/>
      <c r="P1152" s="339"/>
      <c r="AF1152" s="568"/>
    </row>
    <row r="1153" spans="3:32" s="562" customFormat="1" ht="30" customHeight="1" x14ac:dyDescent="0.2">
      <c r="C1153" s="339"/>
      <c r="H1153" s="339"/>
      <c r="M1153" s="609"/>
      <c r="N1153" s="339"/>
      <c r="P1153" s="339"/>
      <c r="AF1153" s="568"/>
    </row>
    <row r="1154" spans="3:32" s="562" customFormat="1" ht="30" customHeight="1" x14ac:dyDescent="0.2">
      <c r="C1154" s="339"/>
      <c r="H1154" s="339"/>
      <c r="M1154" s="609"/>
      <c r="N1154" s="339"/>
      <c r="P1154" s="339"/>
      <c r="AF1154" s="568"/>
    </row>
    <row r="1155" spans="3:32" s="562" customFormat="1" ht="30" customHeight="1" x14ac:dyDescent="0.2">
      <c r="C1155" s="339"/>
      <c r="H1155" s="339"/>
      <c r="M1155" s="609"/>
      <c r="N1155" s="339"/>
      <c r="P1155" s="339"/>
      <c r="AF1155" s="568"/>
    </row>
    <row r="1156" spans="3:32" s="562" customFormat="1" ht="30" customHeight="1" x14ac:dyDescent="0.2">
      <c r="C1156" s="339"/>
      <c r="H1156" s="339"/>
      <c r="M1156" s="609"/>
      <c r="N1156" s="339"/>
      <c r="P1156" s="339"/>
      <c r="AF1156" s="568"/>
    </row>
    <row r="1157" spans="3:32" s="562" customFormat="1" ht="30" customHeight="1" x14ac:dyDescent="0.2">
      <c r="C1157" s="339"/>
      <c r="H1157" s="339"/>
      <c r="M1157" s="609"/>
      <c r="N1157" s="339"/>
      <c r="P1157" s="339"/>
      <c r="AF1157" s="568"/>
    </row>
    <row r="1158" spans="3:32" s="562" customFormat="1" ht="30" customHeight="1" x14ac:dyDescent="0.2">
      <c r="C1158" s="339"/>
      <c r="H1158" s="339"/>
      <c r="M1158" s="609"/>
      <c r="N1158" s="339"/>
      <c r="P1158" s="339"/>
      <c r="AF1158" s="568"/>
    </row>
    <row r="1159" spans="3:32" s="562" customFormat="1" ht="30" customHeight="1" x14ac:dyDescent="0.2">
      <c r="C1159" s="339"/>
      <c r="H1159" s="339"/>
      <c r="M1159" s="609"/>
      <c r="N1159" s="339"/>
      <c r="P1159" s="339"/>
      <c r="AF1159" s="568"/>
    </row>
    <row r="1160" spans="3:32" s="562" customFormat="1" ht="30" customHeight="1" x14ac:dyDescent="0.2">
      <c r="C1160" s="339"/>
      <c r="H1160" s="339"/>
      <c r="M1160" s="609"/>
      <c r="N1160" s="339"/>
      <c r="P1160" s="339"/>
      <c r="AF1160" s="568"/>
    </row>
    <row r="1161" spans="3:32" s="562" customFormat="1" ht="30" customHeight="1" x14ac:dyDescent="0.2">
      <c r="C1161" s="339"/>
      <c r="H1161" s="339"/>
      <c r="M1161" s="609"/>
      <c r="N1161" s="339"/>
      <c r="P1161" s="339"/>
      <c r="AF1161" s="568"/>
    </row>
    <row r="1162" spans="3:32" s="562" customFormat="1" ht="30" customHeight="1" x14ac:dyDescent="0.2">
      <c r="C1162" s="339"/>
      <c r="H1162" s="339"/>
      <c r="M1162" s="609"/>
      <c r="N1162" s="339"/>
      <c r="P1162" s="339"/>
      <c r="AF1162" s="568"/>
    </row>
    <row r="1163" spans="3:32" s="562" customFormat="1" ht="30" customHeight="1" x14ac:dyDescent="0.2">
      <c r="C1163" s="339"/>
      <c r="H1163" s="339"/>
      <c r="M1163" s="609"/>
      <c r="N1163" s="339"/>
      <c r="P1163" s="339"/>
      <c r="AF1163" s="568"/>
    </row>
    <row r="1164" spans="3:32" s="562" customFormat="1" ht="30" customHeight="1" x14ac:dyDescent="0.2">
      <c r="C1164" s="339"/>
      <c r="H1164" s="339"/>
      <c r="M1164" s="609"/>
      <c r="N1164" s="339"/>
      <c r="P1164" s="339"/>
      <c r="AF1164" s="568"/>
    </row>
    <row r="1165" spans="3:32" s="562" customFormat="1" ht="30" customHeight="1" x14ac:dyDescent="0.2">
      <c r="C1165" s="339"/>
      <c r="H1165" s="339"/>
      <c r="M1165" s="609"/>
      <c r="N1165" s="339"/>
      <c r="P1165" s="339"/>
      <c r="AF1165" s="568"/>
    </row>
    <row r="1166" spans="3:32" s="562" customFormat="1" ht="30" customHeight="1" x14ac:dyDescent="0.2">
      <c r="C1166" s="339"/>
      <c r="H1166" s="339"/>
      <c r="M1166" s="609"/>
      <c r="N1166" s="339"/>
      <c r="P1166" s="339"/>
      <c r="AF1166" s="568"/>
    </row>
    <row r="1167" spans="3:32" s="562" customFormat="1" ht="30" customHeight="1" x14ac:dyDescent="0.2">
      <c r="C1167" s="339"/>
      <c r="H1167" s="339"/>
      <c r="M1167" s="609"/>
      <c r="N1167" s="339"/>
      <c r="P1167" s="339"/>
      <c r="AF1167" s="568"/>
    </row>
    <row r="1168" spans="3:32" s="562" customFormat="1" ht="30" customHeight="1" x14ac:dyDescent="0.2">
      <c r="C1168" s="339"/>
      <c r="H1168" s="339"/>
      <c r="M1168" s="609"/>
      <c r="N1168" s="339"/>
      <c r="P1168" s="339"/>
      <c r="AF1168" s="568"/>
    </row>
    <row r="1169" spans="3:32" s="562" customFormat="1" ht="30" customHeight="1" x14ac:dyDescent="0.2">
      <c r="C1169" s="339"/>
      <c r="H1169" s="339"/>
      <c r="M1169" s="609"/>
      <c r="N1169" s="339"/>
      <c r="P1169" s="339"/>
      <c r="AF1169" s="568"/>
    </row>
    <row r="1170" spans="3:32" s="562" customFormat="1" ht="30" customHeight="1" x14ac:dyDescent="0.2">
      <c r="C1170" s="339"/>
      <c r="H1170" s="339"/>
      <c r="M1170" s="609"/>
      <c r="N1170" s="339"/>
      <c r="P1170" s="339"/>
      <c r="AF1170" s="568"/>
    </row>
    <row r="1171" spans="3:32" s="562" customFormat="1" ht="30" customHeight="1" x14ac:dyDescent="0.2">
      <c r="C1171" s="339"/>
      <c r="H1171" s="339"/>
      <c r="M1171" s="609"/>
      <c r="N1171" s="339"/>
      <c r="P1171" s="339"/>
      <c r="AF1171" s="568"/>
    </row>
    <row r="1172" spans="3:32" s="562" customFormat="1" ht="30" customHeight="1" x14ac:dyDescent="0.2">
      <c r="C1172" s="339"/>
      <c r="H1172" s="339"/>
      <c r="M1172" s="609"/>
      <c r="N1172" s="339"/>
      <c r="P1172" s="339"/>
      <c r="AF1172" s="568"/>
    </row>
    <row r="1173" spans="3:32" s="562" customFormat="1" ht="30" customHeight="1" x14ac:dyDescent="0.2">
      <c r="C1173" s="339"/>
      <c r="H1173" s="339"/>
      <c r="M1173" s="609"/>
      <c r="N1173" s="339"/>
      <c r="P1173" s="339"/>
      <c r="AF1173" s="568"/>
    </row>
    <row r="1174" spans="3:32" s="562" customFormat="1" ht="30" customHeight="1" x14ac:dyDescent="0.2">
      <c r="C1174" s="339"/>
      <c r="H1174" s="339"/>
      <c r="M1174" s="609"/>
      <c r="N1174" s="339"/>
      <c r="P1174" s="339"/>
      <c r="AF1174" s="568"/>
    </row>
    <row r="1175" spans="3:32" s="562" customFormat="1" ht="30" customHeight="1" x14ac:dyDescent="0.2">
      <c r="C1175" s="339"/>
      <c r="H1175" s="339"/>
      <c r="M1175" s="609"/>
      <c r="N1175" s="339"/>
      <c r="P1175" s="339"/>
      <c r="AF1175" s="568"/>
    </row>
    <row r="1176" spans="3:32" s="562" customFormat="1" ht="30" customHeight="1" x14ac:dyDescent="0.2">
      <c r="C1176" s="339"/>
      <c r="H1176" s="339"/>
      <c r="M1176" s="609"/>
      <c r="N1176" s="339"/>
      <c r="P1176" s="339"/>
      <c r="AF1176" s="568"/>
    </row>
    <row r="1177" spans="3:32" s="562" customFormat="1" ht="30" customHeight="1" x14ac:dyDescent="0.2">
      <c r="C1177" s="339"/>
      <c r="H1177" s="339"/>
      <c r="M1177" s="609"/>
      <c r="N1177" s="339"/>
      <c r="P1177" s="339"/>
      <c r="AF1177" s="568"/>
    </row>
    <row r="1178" spans="3:32" s="562" customFormat="1" ht="30" customHeight="1" x14ac:dyDescent="0.2">
      <c r="C1178" s="339"/>
      <c r="H1178" s="339"/>
      <c r="M1178" s="609"/>
      <c r="N1178" s="339"/>
      <c r="P1178" s="339"/>
      <c r="AF1178" s="568"/>
    </row>
    <row r="1179" spans="3:32" s="562" customFormat="1" ht="30" customHeight="1" x14ac:dyDescent="0.2">
      <c r="C1179" s="339"/>
      <c r="H1179" s="339"/>
      <c r="M1179" s="609"/>
      <c r="N1179" s="339"/>
      <c r="P1179" s="339"/>
      <c r="AF1179" s="568"/>
    </row>
    <row r="1180" spans="3:32" s="562" customFormat="1" ht="30" customHeight="1" x14ac:dyDescent="0.2">
      <c r="C1180" s="339"/>
      <c r="H1180" s="339"/>
      <c r="M1180" s="609"/>
      <c r="N1180" s="339"/>
      <c r="P1180" s="339"/>
      <c r="AF1180" s="568"/>
    </row>
    <row r="1181" spans="3:32" s="562" customFormat="1" ht="30" customHeight="1" x14ac:dyDescent="0.2">
      <c r="C1181" s="339"/>
      <c r="H1181" s="339"/>
      <c r="M1181" s="609"/>
      <c r="N1181" s="339"/>
      <c r="P1181" s="339"/>
      <c r="AF1181" s="568"/>
    </row>
    <row r="1182" spans="3:32" s="562" customFormat="1" ht="30" customHeight="1" x14ac:dyDescent="0.2">
      <c r="C1182" s="339"/>
      <c r="H1182" s="339"/>
      <c r="M1182" s="609"/>
      <c r="N1182" s="339"/>
      <c r="P1182" s="339"/>
      <c r="AF1182" s="568"/>
    </row>
    <row r="1183" spans="3:32" s="562" customFormat="1" ht="30" customHeight="1" x14ac:dyDescent="0.2">
      <c r="C1183" s="339"/>
      <c r="H1183" s="339"/>
      <c r="M1183" s="609"/>
      <c r="N1183" s="339"/>
      <c r="P1183" s="339"/>
      <c r="AF1183" s="568"/>
    </row>
    <row r="1184" spans="3:32" s="562" customFormat="1" ht="30" customHeight="1" x14ac:dyDescent="0.2">
      <c r="C1184" s="339"/>
      <c r="H1184" s="339"/>
      <c r="M1184" s="609"/>
      <c r="N1184" s="339"/>
      <c r="P1184" s="339"/>
      <c r="AF1184" s="568"/>
    </row>
    <row r="1185" spans="3:32" s="562" customFormat="1" ht="30" customHeight="1" x14ac:dyDescent="0.2">
      <c r="C1185" s="339"/>
      <c r="H1185" s="339"/>
      <c r="M1185" s="609"/>
      <c r="N1185" s="339"/>
      <c r="P1185" s="339"/>
      <c r="AF1185" s="568"/>
    </row>
    <row r="1186" spans="3:32" s="562" customFormat="1" ht="30" customHeight="1" x14ac:dyDescent="0.2">
      <c r="C1186" s="339"/>
      <c r="H1186" s="339"/>
      <c r="M1186" s="609"/>
      <c r="N1186" s="339"/>
      <c r="P1186" s="339"/>
      <c r="AF1186" s="568"/>
    </row>
    <row r="1187" spans="3:32" s="562" customFormat="1" ht="30" customHeight="1" x14ac:dyDescent="0.2">
      <c r="C1187" s="339"/>
      <c r="H1187" s="339"/>
      <c r="M1187" s="609"/>
      <c r="N1187" s="339"/>
      <c r="P1187" s="339"/>
      <c r="AF1187" s="568"/>
    </row>
    <row r="1188" spans="3:32" s="562" customFormat="1" ht="30" customHeight="1" x14ac:dyDescent="0.2">
      <c r="C1188" s="339"/>
      <c r="H1188" s="339"/>
      <c r="M1188" s="609"/>
      <c r="N1188" s="339"/>
      <c r="P1188" s="339"/>
      <c r="AF1188" s="568"/>
    </row>
    <row r="1189" spans="3:32" s="562" customFormat="1" ht="30" customHeight="1" x14ac:dyDescent="0.2">
      <c r="C1189" s="339"/>
      <c r="H1189" s="339"/>
      <c r="M1189" s="609"/>
      <c r="N1189" s="339"/>
      <c r="P1189" s="339"/>
      <c r="AF1189" s="568"/>
    </row>
    <row r="1190" spans="3:32" s="562" customFormat="1" ht="30" customHeight="1" x14ac:dyDescent="0.2">
      <c r="C1190" s="339"/>
      <c r="H1190" s="339"/>
      <c r="M1190" s="609"/>
      <c r="N1190" s="339"/>
      <c r="P1190" s="339"/>
      <c r="AF1190" s="568"/>
    </row>
    <row r="1191" spans="3:32" s="562" customFormat="1" ht="30" customHeight="1" x14ac:dyDescent="0.2">
      <c r="C1191" s="339"/>
      <c r="H1191" s="339"/>
      <c r="M1191" s="609"/>
      <c r="N1191" s="339"/>
      <c r="P1191" s="339"/>
      <c r="AF1191" s="568"/>
    </row>
    <row r="1192" spans="3:32" s="562" customFormat="1" ht="30" customHeight="1" x14ac:dyDescent="0.2">
      <c r="C1192" s="339"/>
      <c r="H1192" s="339"/>
      <c r="M1192" s="609"/>
      <c r="N1192" s="339"/>
      <c r="P1192" s="339"/>
      <c r="AF1192" s="568"/>
    </row>
    <row r="1193" spans="3:32" s="562" customFormat="1" ht="30" customHeight="1" x14ac:dyDescent="0.2">
      <c r="C1193" s="339"/>
      <c r="H1193" s="339"/>
      <c r="M1193" s="609"/>
      <c r="N1193" s="339"/>
      <c r="P1193" s="339"/>
      <c r="AF1193" s="568"/>
    </row>
    <row r="1194" spans="3:32" s="562" customFormat="1" ht="30" customHeight="1" x14ac:dyDescent="0.2">
      <c r="C1194" s="339"/>
      <c r="H1194" s="339"/>
      <c r="M1194" s="609"/>
      <c r="N1194" s="339"/>
      <c r="P1194" s="339"/>
      <c r="AF1194" s="568"/>
    </row>
    <row r="1195" spans="3:32" s="562" customFormat="1" ht="30" customHeight="1" x14ac:dyDescent="0.2">
      <c r="C1195" s="339"/>
      <c r="H1195" s="339"/>
      <c r="M1195" s="609"/>
      <c r="N1195" s="339"/>
      <c r="P1195" s="339"/>
      <c r="AF1195" s="568"/>
    </row>
    <row r="1196" spans="3:32" s="562" customFormat="1" ht="30" customHeight="1" x14ac:dyDescent="0.2">
      <c r="C1196" s="339"/>
      <c r="H1196" s="339"/>
      <c r="M1196" s="609"/>
      <c r="N1196" s="339"/>
      <c r="P1196" s="339"/>
      <c r="AF1196" s="568"/>
    </row>
    <row r="1197" spans="3:32" s="562" customFormat="1" ht="30" customHeight="1" x14ac:dyDescent="0.2">
      <c r="C1197" s="339"/>
      <c r="H1197" s="339"/>
      <c r="M1197" s="609"/>
      <c r="N1197" s="339"/>
      <c r="P1197" s="339"/>
      <c r="AF1197" s="568"/>
    </row>
    <row r="1198" spans="3:32" s="562" customFormat="1" ht="30" customHeight="1" x14ac:dyDescent="0.2">
      <c r="C1198" s="339"/>
      <c r="H1198" s="339"/>
      <c r="M1198" s="609"/>
      <c r="N1198" s="339"/>
      <c r="P1198" s="339"/>
      <c r="AF1198" s="568"/>
    </row>
    <row r="1199" spans="3:32" s="562" customFormat="1" ht="30" customHeight="1" x14ac:dyDescent="0.2">
      <c r="C1199" s="339"/>
      <c r="H1199" s="339"/>
      <c r="M1199" s="609"/>
      <c r="N1199" s="339"/>
      <c r="P1199" s="339"/>
      <c r="AF1199" s="568"/>
    </row>
    <row r="1200" spans="3:32" s="562" customFormat="1" ht="30" customHeight="1" x14ac:dyDescent="0.2">
      <c r="C1200" s="339"/>
      <c r="H1200" s="339"/>
      <c r="M1200" s="609"/>
      <c r="N1200" s="339"/>
      <c r="P1200" s="339"/>
      <c r="AF1200" s="568"/>
    </row>
    <row r="1201" spans="3:32" s="562" customFormat="1" ht="30" customHeight="1" x14ac:dyDescent="0.2">
      <c r="C1201" s="339"/>
      <c r="H1201" s="339"/>
      <c r="M1201" s="609"/>
      <c r="N1201" s="339"/>
      <c r="P1201" s="339"/>
      <c r="AF1201" s="568"/>
    </row>
    <row r="1202" spans="3:32" s="562" customFormat="1" ht="30" customHeight="1" x14ac:dyDescent="0.2">
      <c r="C1202" s="339"/>
      <c r="H1202" s="339"/>
      <c r="M1202" s="609"/>
      <c r="N1202" s="339"/>
      <c r="P1202" s="339"/>
      <c r="AF1202" s="568"/>
    </row>
    <row r="1203" spans="3:32" s="562" customFormat="1" ht="30" customHeight="1" x14ac:dyDescent="0.2">
      <c r="C1203" s="339"/>
      <c r="H1203" s="339"/>
      <c r="M1203" s="609"/>
      <c r="N1203" s="339"/>
      <c r="P1203" s="339"/>
      <c r="AF1203" s="568"/>
    </row>
    <row r="1204" spans="3:32" s="562" customFormat="1" ht="30" customHeight="1" x14ac:dyDescent="0.2">
      <c r="C1204" s="339"/>
      <c r="H1204" s="339"/>
      <c r="M1204" s="609"/>
      <c r="N1204" s="339"/>
      <c r="P1204" s="339"/>
      <c r="AF1204" s="568"/>
    </row>
    <row r="1205" spans="3:32" s="562" customFormat="1" ht="30" customHeight="1" x14ac:dyDescent="0.2">
      <c r="C1205" s="339"/>
      <c r="H1205" s="339"/>
      <c r="M1205" s="609"/>
      <c r="N1205" s="339"/>
      <c r="P1205" s="339"/>
      <c r="AF1205" s="568"/>
    </row>
    <row r="1206" spans="3:32" s="562" customFormat="1" ht="30" customHeight="1" x14ac:dyDescent="0.2">
      <c r="C1206" s="339"/>
      <c r="H1206" s="339"/>
      <c r="M1206" s="609"/>
      <c r="N1206" s="339"/>
      <c r="P1206" s="339"/>
      <c r="AF1206" s="568"/>
    </row>
    <row r="1207" spans="3:32" s="562" customFormat="1" ht="30" customHeight="1" x14ac:dyDescent="0.2">
      <c r="C1207" s="339"/>
      <c r="H1207" s="339"/>
      <c r="M1207" s="609"/>
      <c r="N1207" s="339"/>
      <c r="P1207" s="339"/>
      <c r="AF1207" s="568"/>
    </row>
    <row r="1208" spans="3:32" s="562" customFormat="1" ht="30" customHeight="1" x14ac:dyDescent="0.2">
      <c r="C1208" s="339"/>
      <c r="H1208" s="339"/>
      <c r="M1208" s="609"/>
      <c r="N1208" s="339"/>
      <c r="P1208" s="339"/>
      <c r="AF1208" s="568"/>
    </row>
    <row r="1209" spans="3:32" s="562" customFormat="1" ht="30" customHeight="1" x14ac:dyDescent="0.2">
      <c r="C1209" s="339"/>
      <c r="H1209" s="339"/>
      <c r="M1209" s="609"/>
      <c r="N1209" s="339"/>
      <c r="P1209" s="339"/>
      <c r="AF1209" s="568"/>
    </row>
    <row r="1210" spans="3:32" s="562" customFormat="1" ht="30" customHeight="1" x14ac:dyDescent="0.2">
      <c r="C1210" s="339"/>
      <c r="H1210" s="339"/>
      <c r="M1210" s="609"/>
      <c r="N1210" s="339"/>
      <c r="P1210" s="339"/>
      <c r="AF1210" s="568"/>
    </row>
    <row r="1211" spans="3:32" s="562" customFormat="1" ht="30" customHeight="1" x14ac:dyDescent="0.2">
      <c r="C1211" s="339"/>
      <c r="H1211" s="339"/>
      <c r="M1211" s="609"/>
      <c r="N1211" s="339"/>
      <c r="P1211" s="339"/>
      <c r="AF1211" s="568"/>
    </row>
    <row r="1212" spans="3:32" s="562" customFormat="1" ht="30" customHeight="1" x14ac:dyDescent="0.2">
      <c r="C1212" s="339"/>
      <c r="H1212" s="339"/>
      <c r="M1212" s="609"/>
      <c r="N1212" s="339"/>
      <c r="P1212" s="339"/>
      <c r="AF1212" s="568"/>
    </row>
    <row r="1213" spans="3:32" s="562" customFormat="1" ht="30" customHeight="1" x14ac:dyDescent="0.2">
      <c r="C1213" s="339"/>
      <c r="H1213" s="339"/>
      <c r="M1213" s="609"/>
      <c r="N1213" s="339"/>
      <c r="P1213" s="339"/>
      <c r="AF1213" s="568"/>
    </row>
    <row r="1214" spans="3:32" s="562" customFormat="1" ht="30" customHeight="1" x14ac:dyDescent="0.2">
      <c r="C1214" s="339"/>
      <c r="H1214" s="339"/>
      <c r="M1214" s="609"/>
      <c r="N1214" s="339"/>
      <c r="P1214" s="339"/>
      <c r="AF1214" s="568"/>
    </row>
    <row r="1215" spans="3:32" s="562" customFormat="1" ht="30" customHeight="1" x14ac:dyDescent="0.2">
      <c r="C1215" s="339"/>
      <c r="H1215" s="339"/>
      <c r="M1215" s="609"/>
      <c r="N1215" s="339"/>
      <c r="P1215" s="339"/>
      <c r="AF1215" s="568"/>
    </row>
    <row r="1216" spans="3:32" s="562" customFormat="1" ht="30" customHeight="1" x14ac:dyDescent="0.2">
      <c r="C1216" s="339"/>
      <c r="H1216" s="339"/>
      <c r="M1216" s="609"/>
      <c r="N1216" s="339"/>
      <c r="P1216" s="339"/>
      <c r="AF1216" s="568"/>
    </row>
    <row r="1217" spans="3:32" s="562" customFormat="1" ht="30" customHeight="1" x14ac:dyDescent="0.2">
      <c r="C1217" s="339"/>
      <c r="H1217" s="339"/>
      <c r="M1217" s="609"/>
      <c r="N1217" s="339"/>
      <c r="P1217" s="339"/>
      <c r="AF1217" s="568"/>
    </row>
    <row r="1218" spans="3:32" s="562" customFormat="1" ht="30" customHeight="1" x14ac:dyDescent="0.2">
      <c r="C1218" s="339"/>
      <c r="H1218" s="339"/>
      <c r="M1218" s="609"/>
      <c r="N1218" s="339"/>
      <c r="P1218" s="339"/>
      <c r="AF1218" s="568"/>
    </row>
    <row r="1219" spans="3:32" s="562" customFormat="1" ht="30" customHeight="1" x14ac:dyDescent="0.2">
      <c r="C1219" s="339"/>
      <c r="H1219" s="339"/>
      <c r="M1219" s="609"/>
      <c r="N1219" s="339"/>
      <c r="P1219" s="339"/>
      <c r="AF1219" s="568"/>
    </row>
    <row r="1220" spans="3:32" s="562" customFormat="1" ht="30" customHeight="1" x14ac:dyDescent="0.2">
      <c r="C1220" s="339"/>
      <c r="H1220" s="339"/>
      <c r="M1220" s="609"/>
      <c r="N1220" s="339"/>
      <c r="P1220" s="339"/>
      <c r="AF1220" s="568"/>
    </row>
    <row r="1221" spans="3:32" s="562" customFormat="1" ht="30" customHeight="1" x14ac:dyDescent="0.2">
      <c r="C1221" s="339"/>
      <c r="H1221" s="339"/>
      <c r="M1221" s="609"/>
      <c r="N1221" s="339"/>
      <c r="P1221" s="339"/>
      <c r="AF1221" s="568"/>
    </row>
    <row r="1222" spans="3:32" s="562" customFormat="1" ht="30" customHeight="1" x14ac:dyDescent="0.2">
      <c r="C1222" s="339"/>
      <c r="H1222" s="339"/>
      <c r="M1222" s="609"/>
      <c r="N1222" s="339"/>
      <c r="P1222" s="339"/>
      <c r="AF1222" s="568"/>
    </row>
    <row r="1223" spans="3:32" s="562" customFormat="1" ht="30" customHeight="1" x14ac:dyDescent="0.2">
      <c r="C1223" s="339"/>
      <c r="H1223" s="339"/>
      <c r="M1223" s="609"/>
      <c r="N1223" s="339"/>
      <c r="P1223" s="339"/>
      <c r="AF1223" s="568"/>
    </row>
    <row r="1224" spans="3:32" s="562" customFormat="1" ht="30" customHeight="1" x14ac:dyDescent="0.2">
      <c r="C1224" s="339"/>
      <c r="H1224" s="339"/>
      <c r="M1224" s="609"/>
      <c r="N1224" s="339"/>
      <c r="P1224" s="339"/>
      <c r="AF1224" s="568"/>
    </row>
    <row r="1225" spans="3:32" s="562" customFormat="1" ht="30" customHeight="1" x14ac:dyDescent="0.2">
      <c r="C1225" s="339"/>
      <c r="H1225" s="339"/>
      <c r="M1225" s="609"/>
      <c r="N1225" s="339"/>
      <c r="P1225" s="339"/>
      <c r="AF1225" s="568"/>
    </row>
    <row r="1226" spans="3:32" s="562" customFormat="1" ht="30" customHeight="1" x14ac:dyDescent="0.2">
      <c r="C1226" s="339"/>
      <c r="H1226" s="339"/>
      <c r="M1226" s="609"/>
      <c r="N1226" s="339"/>
      <c r="P1226" s="339"/>
      <c r="AF1226" s="568"/>
    </row>
    <row r="1227" spans="3:32" s="562" customFormat="1" ht="30" customHeight="1" x14ac:dyDescent="0.2">
      <c r="C1227" s="339"/>
      <c r="H1227" s="339"/>
      <c r="M1227" s="609"/>
      <c r="N1227" s="339"/>
      <c r="P1227" s="339"/>
      <c r="AF1227" s="568"/>
    </row>
    <row r="1228" spans="3:32" s="562" customFormat="1" ht="30" customHeight="1" x14ac:dyDescent="0.2">
      <c r="C1228" s="339"/>
      <c r="H1228" s="339"/>
      <c r="M1228" s="609"/>
      <c r="N1228" s="339"/>
      <c r="P1228" s="339"/>
      <c r="AF1228" s="568"/>
    </row>
    <row r="1229" spans="3:32" s="562" customFormat="1" ht="30" customHeight="1" x14ac:dyDescent="0.2">
      <c r="C1229" s="339"/>
      <c r="H1229" s="339"/>
      <c r="M1229" s="609"/>
      <c r="N1229" s="339"/>
      <c r="P1229" s="339"/>
      <c r="AF1229" s="568"/>
    </row>
    <row r="1230" spans="3:32" s="562" customFormat="1" ht="30" customHeight="1" x14ac:dyDescent="0.2">
      <c r="C1230" s="339"/>
      <c r="H1230" s="339"/>
      <c r="M1230" s="609"/>
      <c r="N1230" s="339"/>
      <c r="P1230" s="339"/>
      <c r="AF1230" s="568"/>
    </row>
    <row r="1231" spans="3:32" s="562" customFormat="1" ht="30" customHeight="1" x14ac:dyDescent="0.2">
      <c r="C1231" s="339"/>
      <c r="H1231" s="339"/>
      <c r="M1231" s="609"/>
      <c r="N1231" s="339"/>
      <c r="P1231" s="339"/>
      <c r="AF1231" s="568"/>
    </row>
    <row r="1232" spans="3:32" s="562" customFormat="1" ht="30" customHeight="1" x14ac:dyDescent="0.2">
      <c r="C1232" s="339"/>
      <c r="H1232" s="339"/>
      <c r="M1232" s="609"/>
      <c r="N1232" s="339"/>
      <c r="P1232" s="339"/>
      <c r="AF1232" s="568"/>
    </row>
    <row r="1233" spans="3:32" s="562" customFormat="1" ht="30" customHeight="1" x14ac:dyDescent="0.2">
      <c r="C1233" s="339"/>
      <c r="H1233" s="339"/>
      <c r="M1233" s="609"/>
      <c r="N1233" s="339"/>
      <c r="P1233" s="339"/>
      <c r="AF1233" s="568"/>
    </row>
    <row r="1234" spans="3:32" s="562" customFormat="1" ht="30" customHeight="1" x14ac:dyDescent="0.2">
      <c r="C1234" s="339"/>
      <c r="H1234" s="339"/>
      <c r="M1234" s="609"/>
      <c r="N1234" s="339"/>
      <c r="P1234" s="339"/>
      <c r="AF1234" s="568"/>
    </row>
    <row r="1235" spans="3:32" s="562" customFormat="1" ht="30" customHeight="1" x14ac:dyDescent="0.2">
      <c r="C1235" s="339"/>
      <c r="H1235" s="339"/>
      <c r="M1235" s="609"/>
      <c r="N1235" s="339"/>
      <c r="P1235" s="339"/>
      <c r="AF1235" s="568"/>
    </row>
    <row r="1236" spans="3:32" s="562" customFormat="1" ht="30" customHeight="1" x14ac:dyDescent="0.2">
      <c r="C1236" s="339"/>
      <c r="H1236" s="339"/>
      <c r="M1236" s="609"/>
      <c r="N1236" s="339"/>
      <c r="P1236" s="339"/>
      <c r="AF1236" s="568"/>
    </row>
    <row r="1237" spans="3:32" s="562" customFormat="1" ht="30" customHeight="1" x14ac:dyDescent="0.2">
      <c r="C1237" s="339"/>
      <c r="H1237" s="339"/>
      <c r="M1237" s="609"/>
      <c r="N1237" s="339"/>
      <c r="P1237" s="339"/>
      <c r="AF1237" s="568"/>
    </row>
    <row r="1238" spans="3:32" s="562" customFormat="1" ht="30" customHeight="1" x14ac:dyDescent="0.2">
      <c r="C1238" s="339"/>
      <c r="H1238" s="339"/>
      <c r="M1238" s="609"/>
      <c r="N1238" s="339"/>
      <c r="P1238" s="339"/>
      <c r="AF1238" s="568"/>
    </row>
    <row r="1239" spans="3:32" s="562" customFormat="1" ht="30" customHeight="1" x14ac:dyDescent="0.2">
      <c r="C1239" s="339"/>
      <c r="H1239" s="339"/>
      <c r="M1239" s="609"/>
      <c r="N1239" s="339"/>
      <c r="P1239" s="339"/>
      <c r="AF1239" s="568"/>
    </row>
    <row r="1240" spans="3:32" s="562" customFormat="1" ht="30" customHeight="1" x14ac:dyDescent="0.2">
      <c r="C1240" s="339"/>
      <c r="H1240" s="339"/>
      <c r="M1240" s="609"/>
      <c r="N1240" s="339"/>
      <c r="P1240" s="339"/>
      <c r="AF1240" s="568"/>
    </row>
    <row r="1241" spans="3:32" s="562" customFormat="1" ht="30" customHeight="1" x14ac:dyDescent="0.2">
      <c r="C1241" s="339"/>
      <c r="H1241" s="339"/>
      <c r="M1241" s="609"/>
      <c r="N1241" s="339"/>
      <c r="P1241" s="339"/>
      <c r="AF1241" s="568"/>
    </row>
    <row r="1242" spans="3:32" s="562" customFormat="1" ht="30" customHeight="1" x14ac:dyDescent="0.2">
      <c r="C1242" s="339"/>
      <c r="H1242" s="339"/>
      <c r="M1242" s="609"/>
      <c r="N1242" s="339"/>
      <c r="P1242" s="339"/>
      <c r="AF1242" s="568"/>
    </row>
    <row r="1243" spans="3:32" s="562" customFormat="1" ht="30" customHeight="1" x14ac:dyDescent="0.2">
      <c r="C1243" s="339"/>
      <c r="H1243" s="339"/>
      <c r="M1243" s="609"/>
      <c r="N1243" s="339"/>
      <c r="P1243" s="339"/>
      <c r="AF1243" s="568"/>
    </row>
    <row r="1244" spans="3:32" s="562" customFormat="1" ht="30" customHeight="1" x14ac:dyDescent="0.2">
      <c r="C1244" s="339"/>
      <c r="H1244" s="339"/>
      <c r="M1244" s="609"/>
      <c r="N1244" s="339"/>
      <c r="P1244" s="339"/>
      <c r="AF1244" s="568"/>
    </row>
    <row r="1245" spans="3:32" s="562" customFormat="1" ht="30" customHeight="1" x14ac:dyDescent="0.2">
      <c r="C1245" s="339"/>
      <c r="H1245" s="339"/>
      <c r="M1245" s="609"/>
      <c r="N1245" s="339"/>
      <c r="P1245" s="339"/>
      <c r="AF1245" s="568"/>
    </row>
    <row r="1246" spans="3:32" s="562" customFormat="1" ht="30" customHeight="1" x14ac:dyDescent="0.2">
      <c r="C1246" s="339"/>
      <c r="H1246" s="339"/>
      <c r="M1246" s="609"/>
      <c r="N1246" s="339"/>
      <c r="P1246" s="339"/>
      <c r="AF1246" s="568"/>
    </row>
    <row r="1247" spans="3:32" s="562" customFormat="1" ht="30" customHeight="1" x14ac:dyDescent="0.2">
      <c r="C1247" s="339"/>
      <c r="H1247" s="339"/>
      <c r="M1247" s="609"/>
      <c r="N1247" s="339"/>
      <c r="P1247" s="339"/>
      <c r="AF1247" s="568"/>
    </row>
    <row r="1248" spans="3:32" s="562" customFormat="1" ht="30" customHeight="1" x14ac:dyDescent="0.2">
      <c r="C1248" s="339"/>
      <c r="H1248" s="339"/>
      <c r="M1248" s="609"/>
      <c r="N1248" s="339"/>
      <c r="P1248" s="339"/>
      <c r="AF1248" s="568"/>
    </row>
    <row r="1249" spans="3:32" s="562" customFormat="1" ht="30" customHeight="1" x14ac:dyDescent="0.2">
      <c r="C1249" s="339"/>
      <c r="H1249" s="339"/>
      <c r="M1249" s="609"/>
      <c r="N1249" s="339"/>
      <c r="P1249" s="339"/>
      <c r="AF1249" s="568"/>
    </row>
    <row r="1250" spans="3:32" s="562" customFormat="1" ht="30" customHeight="1" x14ac:dyDescent="0.2">
      <c r="C1250" s="339"/>
      <c r="H1250" s="339"/>
      <c r="M1250" s="609"/>
      <c r="N1250" s="339"/>
      <c r="P1250" s="339"/>
      <c r="AF1250" s="568"/>
    </row>
    <row r="1251" spans="3:32" s="562" customFormat="1" ht="30" customHeight="1" x14ac:dyDescent="0.2">
      <c r="C1251" s="339"/>
      <c r="H1251" s="339"/>
      <c r="M1251" s="609"/>
      <c r="N1251" s="339"/>
      <c r="P1251" s="339"/>
      <c r="AF1251" s="568"/>
    </row>
    <row r="1252" spans="3:32" s="562" customFormat="1" ht="30" customHeight="1" x14ac:dyDescent="0.2">
      <c r="C1252" s="339"/>
      <c r="H1252" s="339"/>
      <c r="M1252" s="609"/>
      <c r="N1252" s="339"/>
      <c r="P1252" s="339"/>
      <c r="AF1252" s="568"/>
    </row>
    <row r="1253" spans="3:32" s="562" customFormat="1" ht="30" customHeight="1" x14ac:dyDescent="0.2">
      <c r="C1253" s="339"/>
      <c r="H1253" s="339"/>
      <c r="M1253" s="609"/>
      <c r="N1253" s="339"/>
      <c r="P1253" s="339"/>
      <c r="AF1253" s="568"/>
    </row>
    <row r="1254" spans="3:32" s="562" customFormat="1" ht="30" customHeight="1" x14ac:dyDescent="0.2">
      <c r="C1254" s="339"/>
      <c r="H1254" s="339"/>
      <c r="M1254" s="609"/>
      <c r="N1254" s="339"/>
      <c r="P1254" s="339"/>
      <c r="AF1254" s="568"/>
    </row>
    <row r="1255" spans="3:32" s="562" customFormat="1" ht="30" customHeight="1" x14ac:dyDescent="0.2">
      <c r="C1255" s="339"/>
      <c r="H1255" s="339"/>
      <c r="M1255" s="609"/>
      <c r="N1255" s="339"/>
      <c r="P1255" s="339"/>
      <c r="AF1255" s="568"/>
    </row>
    <row r="1256" spans="3:32" s="562" customFormat="1" ht="30" customHeight="1" x14ac:dyDescent="0.2">
      <c r="C1256" s="339"/>
      <c r="H1256" s="339"/>
      <c r="M1256" s="609"/>
      <c r="N1256" s="339"/>
      <c r="P1256" s="339"/>
      <c r="AF1256" s="568"/>
    </row>
    <row r="1257" spans="3:32" s="562" customFormat="1" ht="30" customHeight="1" x14ac:dyDescent="0.2">
      <c r="C1257" s="339"/>
      <c r="H1257" s="339"/>
      <c r="M1257" s="609"/>
      <c r="N1257" s="339"/>
      <c r="P1257" s="339"/>
      <c r="AF1257" s="568"/>
    </row>
    <row r="1258" spans="3:32" s="562" customFormat="1" ht="30" customHeight="1" x14ac:dyDescent="0.2">
      <c r="C1258" s="339"/>
      <c r="H1258" s="339"/>
      <c r="M1258" s="609"/>
      <c r="N1258" s="339"/>
      <c r="P1258" s="339"/>
      <c r="AF1258" s="568"/>
    </row>
    <row r="1259" spans="3:32" s="562" customFormat="1" ht="30" customHeight="1" x14ac:dyDescent="0.2">
      <c r="C1259" s="339"/>
      <c r="H1259" s="339"/>
      <c r="M1259" s="609"/>
      <c r="N1259" s="339"/>
      <c r="P1259" s="339"/>
      <c r="AF1259" s="568"/>
    </row>
    <row r="1260" spans="3:32" s="562" customFormat="1" ht="30" customHeight="1" x14ac:dyDescent="0.2">
      <c r="C1260" s="339"/>
      <c r="H1260" s="339"/>
      <c r="M1260" s="609"/>
      <c r="N1260" s="339"/>
      <c r="P1260" s="339"/>
      <c r="AF1260" s="568"/>
    </row>
    <row r="1261" spans="3:32" s="562" customFormat="1" ht="30" customHeight="1" x14ac:dyDescent="0.2">
      <c r="C1261" s="339"/>
      <c r="H1261" s="339"/>
      <c r="M1261" s="609"/>
      <c r="N1261" s="339"/>
      <c r="P1261" s="339"/>
      <c r="AF1261" s="568"/>
    </row>
    <row r="1262" spans="3:32" s="562" customFormat="1" ht="30" customHeight="1" x14ac:dyDescent="0.2">
      <c r="C1262" s="339"/>
      <c r="H1262" s="339"/>
      <c r="M1262" s="609"/>
      <c r="N1262" s="339"/>
      <c r="P1262" s="339"/>
      <c r="AF1262" s="568"/>
    </row>
    <row r="1263" spans="3:32" s="562" customFormat="1" ht="30" customHeight="1" x14ac:dyDescent="0.2">
      <c r="C1263" s="339"/>
      <c r="H1263" s="339"/>
      <c r="M1263" s="609"/>
      <c r="N1263" s="339"/>
      <c r="P1263" s="339"/>
      <c r="AF1263" s="568"/>
    </row>
    <row r="1264" spans="3:32" s="562" customFormat="1" ht="30" customHeight="1" x14ac:dyDescent="0.2">
      <c r="C1264" s="339"/>
      <c r="H1264" s="339"/>
      <c r="M1264" s="609"/>
      <c r="N1264" s="339"/>
      <c r="P1264" s="339"/>
      <c r="AF1264" s="568"/>
    </row>
    <row r="1265" spans="3:32" s="562" customFormat="1" ht="30" customHeight="1" x14ac:dyDescent="0.2">
      <c r="C1265" s="339"/>
      <c r="H1265" s="339"/>
      <c r="M1265" s="609"/>
      <c r="N1265" s="339"/>
      <c r="P1265" s="339"/>
      <c r="AF1265" s="568"/>
    </row>
    <row r="1266" spans="3:32" s="562" customFormat="1" ht="30" customHeight="1" x14ac:dyDescent="0.2">
      <c r="C1266" s="339"/>
      <c r="H1266" s="339"/>
      <c r="M1266" s="609"/>
      <c r="N1266" s="339"/>
      <c r="P1266" s="339"/>
      <c r="AF1266" s="568"/>
    </row>
    <row r="1267" spans="3:32" s="562" customFormat="1" ht="30" customHeight="1" x14ac:dyDescent="0.2">
      <c r="C1267" s="339"/>
      <c r="H1267" s="339"/>
      <c r="M1267" s="609"/>
      <c r="N1267" s="339"/>
      <c r="P1267" s="339"/>
      <c r="AF1267" s="568"/>
    </row>
    <row r="1268" spans="3:32" s="562" customFormat="1" ht="30" customHeight="1" x14ac:dyDescent="0.2">
      <c r="C1268" s="339"/>
      <c r="H1268" s="339"/>
      <c r="M1268" s="609"/>
      <c r="N1268" s="339"/>
      <c r="P1268" s="339"/>
      <c r="AF1268" s="568"/>
    </row>
    <row r="1269" spans="3:32" s="562" customFormat="1" ht="30" customHeight="1" x14ac:dyDescent="0.2">
      <c r="C1269" s="339"/>
      <c r="H1269" s="339"/>
      <c r="M1269" s="609"/>
      <c r="N1269" s="339"/>
      <c r="P1269" s="339"/>
      <c r="AF1269" s="568"/>
    </row>
    <row r="1270" spans="3:32" s="562" customFormat="1" ht="30" customHeight="1" x14ac:dyDescent="0.2">
      <c r="C1270" s="339"/>
      <c r="H1270" s="339"/>
      <c r="M1270" s="609"/>
      <c r="N1270" s="339"/>
      <c r="P1270" s="339"/>
      <c r="AF1270" s="568"/>
    </row>
    <row r="1271" spans="3:32" s="562" customFormat="1" ht="30" customHeight="1" x14ac:dyDescent="0.2">
      <c r="C1271" s="339"/>
      <c r="H1271" s="339"/>
      <c r="M1271" s="609"/>
      <c r="N1271" s="339"/>
      <c r="P1271" s="339"/>
      <c r="AF1271" s="568"/>
    </row>
    <row r="1272" spans="3:32" s="562" customFormat="1" ht="30" customHeight="1" x14ac:dyDescent="0.2">
      <c r="C1272" s="339"/>
      <c r="H1272" s="339"/>
      <c r="M1272" s="609"/>
      <c r="N1272" s="339"/>
      <c r="P1272" s="339"/>
      <c r="AF1272" s="568"/>
    </row>
    <row r="1273" spans="3:32" s="562" customFormat="1" ht="30" customHeight="1" x14ac:dyDescent="0.2">
      <c r="C1273" s="339"/>
      <c r="H1273" s="339"/>
      <c r="M1273" s="609"/>
      <c r="N1273" s="339"/>
      <c r="P1273" s="339"/>
      <c r="AF1273" s="568"/>
    </row>
    <row r="1274" spans="3:32" s="562" customFormat="1" ht="30" customHeight="1" x14ac:dyDescent="0.2">
      <c r="C1274" s="339"/>
      <c r="H1274" s="339"/>
      <c r="M1274" s="609"/>
      <c r="N1274" s="339"/>
      <c r="P1274" s="339"/>
      <c r="AF1274" s="568"/>
    </row>
    <row r="1275" spans="3:32" s="562" customFormat="1" ht="30" customHeight="1" x14ac:dyDescent="0.2">
      <c r="C1275" s="339"/>
      <c r="H1275" s="339"/>
      <c r="M1275" s="609"/>
      <c r="N1275" s="339"/>
      <c r="P1275" s="339"/>
      <c r="AF1275" s="568"/>
    </row>
    <row r="1276" spans="3:32" s="562" customFormat="1" ht="30" customHeight="1" x14ac:dyDescent="0.2">
      <c r="C1276" s="339"/>
      <c r="H1276" s="339"/>
      <c r="M1276" s="609"/>
      <c r="N1276" s="339"/>
      <c r="P1276" s="339"/>
      <c r="AF1276" s="568"/>
    </row>
    <row r="1277" spans="3:32" s="562" customFormat="1" ht="30" customHeight="1" x14ac:dyDescent="0.2">
      <c r="C1277" s="339"/>
      <c r="H1277" s="339"/>
      <c r="M1277" s="609"/>
      <c r="N1277" s="339"/>
      <c r="P1277" s="339"/>
      <c r="AF1277" s="568"/>
    </row>
    <row r="1278" spans="3:32" s="562" customFormat="1" ht="30" customHeight="1" x14ac:dyDescent="0.2">
      <c r="C1278" s="339"/>
      <c r="H1278" s="339"/>
      <c r="M1278" s="609"/>
      <c r="N1278" s="339"/>
      <c r="P1278" s="339"/>
      <c r="AF1278" s="568"/>
    </row>
    <row r="1279" spans="3:32" s="562" customFormat="1" ht="30" customHeight="1" x14ac:dyDescent="0.2">
      <c r="C1279" s="339"/>
      <c r="H1279" s="339"/>
      <c r="M1279" s="609"/>
      <c r="N1279" s="339"/>
      <c r="P1279" s="339"/>
      <c r="AF1279" s="568"/>
    </row>
    <row r="1280" spans="3:32" s="562" customFormat="1" ht="30" customHeight="1" x14ac:dyDescent="0.2">
      <c r="C1280" s="339"/>
      <c r="H1280" s="339"/>
      <c r="M1280" s="609"/>
      <c r="N1280" s="339"/>
      <c r="P1280" s="339"/>
      <c r="AF1280" s="568"/>
    </row>
    <row r="1281" spans="3:32" s="562" customFormat="1" ht="30" customHeight="1" x14ac:dyDescent="0.2">
      <c r="C1281" s="339"/>
      <c r="H1281" s="339"/>
      <c r="M1281" s="609"/>
      <c r="N1281" s="339"/>
      <c r="P1281" s="339"/>
      <c r="AF1281" s="568"/>
    </row>
    <row r="1282" spans="3:32" s="562" customFormat="1" ht="30" customHeight="1" x14ac:dyDescent="0.2">
      <c r="C1282" s="339"/>
      <c r="H1282" s="339"/>
      <c r="M1282" s="609"/>
      <c r="N1282" s="339"/>
      <c r="P1282" s="339"/>
      <c r="AF1282" s="568"/>
    </row>
    <row r="1283" spans="3:32" s="562" customFormat="1" ht="30" customHeight="1" x14ac:dyDescent="0.2">
      <c r="C1283" s="339"/>
      <c r="H1283" s="339"/>
      <c r="M1283" s="609"/>
      <c r="N1283" s="339"/>
      <c r="P1283" s="339"/>
      <c r="AF1283" s="568"/>
    </row>
    <row r="1284" spans="3:32" s="562" customFormat="1" ht="30" customHeight="1" x14ac:dyDescent="0.2">
      <c r="C1284" s="339"/>
      <c r="H1284" s="339"/>
      <c r="M1284" s="609"/>
      <c r="N1284" s="339"/>
      <c r="P1284" s="339"/>
      <c r="AF1284" s="568"/>
    </row>
    <row r="1285" spans="3:32" s="562" customFormat="1" ht="30" customHeight="1" x14ac:dyDescent="0.2">
      <c r="C1285" s="339"/>
      <c r="H1285" s="339"/>
      <c r="M1285" s="609"/>
      <c r="N1285" s="339"/>
      <c r="P1285" s="339"/>
      <c r="AF1285" s="568"/>
    </row>
    <row r="1286" spans="3:32" s="562" customFormat="1" ht="30" customHeight="1" x14ac:dyDescent="0.2">
      <c r="C1286" s="339"/>
      <c r="H1286" s="339"/>
      <c r="M1286" s="609"/>
      <c r="N1286" s="339"/>
      <c r="P1286" s="339"/>
      <c r="AF1286" s="568"/>
    </row>
    <row r="1287" spans="3:32" s="562" customFormat="1" ht="30" customHeight="1" x14ac:dyDescent="0.2">
      <c r="C1287" s="339"/>
      <c r="H1287" s="339"/>
      <c r="M1287" s="609"/>
      <c r="N1287" s="339"/>
      <c r="P1287" s="339"/>
      <c r="AF1287" s="568"/>
    </row>
    <row r="1288" spans="3:32" s="562" customFormat="1" ht="30" customHeight="1" x14ac:dyDescent="0.2">
      <c r="C1288" s="339"/>
      <c r="H1288" s="339"/>
      <c r="M1288" s="609"/>
      <c r="N1288" s="339"/>
      <c r="P1288" s="339"/>
      <c r="AF1288" s="568"/>
    </row>
    <row r="1289" spans="3:32" s="562" customFormat="1" ht="30" customHeight="1" x14ac:dyDescent="0.2">
      <c r="C1289" s="339"/>
      <c r="H1289" s="339"/>
      <c r="M1289" s="609"/>
      <c r="N1289" s="339"/>
      <c r="P1289" s="339"/>
      <c r="AF1289" s="568"/>
    </row>
    <row r="1290" spans="3:32" s="562" customFormat="1" ht="30" customHeight="1" x14ac:dyDescent="0.2">
      <c r="C1290" s="339"/>
      <c r="H1290" s="339"/>
      <c r="M1290" s="609"/>
      <c r="N1290" s="339"/>
      <c r="P1290" s="339"/>
      <c r="AF1290" s="568"/>
    </row>
    <row r="1291" spans="3:32" s="562" customFormat="1" ht="30" customHeight="1" x14ac:dyDescent="0.2">
      <c r="C1291" s="339"/>
      <c r="H1291" s="339"/>
      <c r="M1291" s="609"/>
      <c r="N1291" s="339"/>
      <c r="P1291" s="339"/>
      <c r="AF1291" s="568"/>
    </row>
    <row r="1292" spans="3:32" s="562" customFormat="1" ht="30" customHeight="1" x14ac:dyDescent="0.2">
      <c r="C1292" s="339"/>
      <c r="H1292" s="339"/>
      <c r="M1292" s="609"/>
      <c r="N1292" s="339"/>
      <c r="P1292" s="339"/>
      <c r="AF1292" s="568"/>
    </row>
    <row r="1293" spans="3:32" s="562" customFormat="1" ht="30" customHeight="1" x14ac:dyDescent="0.2">
      <c r="C1293" s="339"/>
      <c r="H1293" s="339"/>
      <c r="M1293" s="609"/>
      <c r="N1293" s="339"/>
      <c r="P1293" s="339"/>
      <c r="AF1293" s="568"/>
    </row>
    <row r="1294" spans="3:32" s="562" customFormat="1" ht="30" customHeight="1" x14ac:dyDescent="0.2">
      <c r="C1294" s="339"/>
      <c r="H1294" s="339"/>
      <c r="M1294" s="609"/>
      <c r="N1294" s="339"/>
      <c r="P1294" s="339"/>
      <c r="AF1294" s="568"/>
    </row>
    <row r="1295" spans="3:32" s="562" customFormat="1" ht="30" customHeight="1" x14ac:dyDescent="0.2">
      <c r="C1295" s="339"/>
      <c r="H1295" s="339"/>
      <c r="M1295" s="609"/>
      <c r="N1295" s="339"/>
      <c r="P1295" s="339"/>
      <c r="AF1295" s="568"/>
    </row>
    <row r="1296" spans="3:32" s="562" customFormat="1" ht="30" customHeight="1" x14ac:dyDescent="0.2">
      <c r="C1296" s="339"/>
      <c r="H1296" s="339"/>
      <c r="M1296" s="609"/>
      <c r="N1296" s="339"/>
      <c r="P1296" s="339"/>
      <c r="AF1296" s="568"/>
    </row>
    <row r="1297" spans="3:32" s="562" customFormat="1" ht="30" customHeight="1" x14ac:dyDescent="0.2">
      <c r="C1297" s="339"/>
      <c r="H1297" s="339"/>
      <c r="M1297" s="609"/>
      <c r="N1297" s="339"/>
      <c r="P1297" s="339"/>
      <c r="AF1297" s="568"/>
    </row>
    <row r="1298" spans="3:32" s="562" customFormat="1" ht="30" customHeight="1" x14ac:dyDescent="0.2">
      <c r="C1298" s="339"/>
      <c r="H1298" s="339"/>
      <c r="M1298" s="609"/>
      <c r="N1298" s="339"/>
      <c r="P1298" s="339"/>
      <c r="AF1298" s="568"/>
    </row>
    <row r="1299" spans="3:32" s="562" customFormat="1" ht="30" customHeight="1" x14ac:dyDescent="0.2">
      <c r="C1299" s="339"/>
      <c r="H1299" s="339"/>
      <c r="M1299" s="609"/>
      <c r="N1299" s="339"/>
      <c r="P1299" s="339"/>
      <c r="AF1299" s="568"/>
    </row>
    <row r="1300" spans="3:32" s="562" customFormat="1" ht="30" customHeight="1" x14ac:dyDescent="0.2">
      <c r="C1300" s="339"/>
      <c r="H1300" s="339"/>
      <c r="M1300" s="609"/>
      <c r="N1300" s="339"/>
      <c r="P1300" s="339"/>
      <c r="AF1300" s="568"/>
    </row>
    <row r="1301" spans="3:32" s="562" customFormat="1" ht="30" customHeight="1" x14ac:dyDescent="0.2">
      <c r="C1301" s="339"/>
      <c r="H1301" s="339"/>
      <c r="M1301" s="609"/>
      <c r="N1301" s="339"/>
      <c r="P1301" s="339"/>
      <c r="AF1301" s="568"/>
    </row>
    <row r="1302" spans="3:32" s="562" customFormat="1" ht="30" customHeight="1" x14ac:dyDescent="0.2">
      <c r="C1302" s="339"/>
      <c r="H1302" s="339"/>
      <c r="M1302" s="609"/>
      <c r="N1302" s="339"/>
      <c r="P1302" s="339"/>
      <c r="AF1302" s="568"/>
    </row>
    <row r="1303" spans="3:32" s="562" customFormat="1" ht="30" customHeight="1" x14ac:dyDescent="0.2">
      <c r="C1303" s="339"/>
      <c r="H1303" s="339"/>
      <c r="M1303" s="609"/>
      <c r="N1303" s="339"/>
      <c r="P1303" s="339"/>
      <c r="AF1303" s="568"/>
    </row>
    <row r="1304" spans="3:32" s="562" customFormat="1" ht="30" customHeight="1" x14ac:dyDescent="0.2">
      <c r="C1304" s="339"/>
      <c r="H1304" s="339"/>
      <c r="M1304" s="609"/>
      <c r="N1304" s="339"/>
      <c r="P1304" s="339"/>
      <c r="AF1304" s="568"/>
    </row>
    <row r="1305" spans="3:32" s="562" customFormat="1" ht="30" customHeight="1" x14ac:dyDescent="0.2">
      <c r="C1305" s="339"/>
      <c r="H1305" s="339"/>
      <c r="M1305" s="609"/>
      <c r="N1305" s="339"/>
      <c r="P1305" s="339"/>
      <c r="AF1305" s="568"/>
    </row>
    <row r="1306" spans="3:32" s="562" customFormat="1" ht="30" customHeight="1" x14ac:dyDescent="0.2">
      <c r="C1306" s="339"/>
      <c r="H1306" s="339"/>
      <c r="M1306" s="609"/>
      <c r="N1306" s="339"/>
      <c r="P1306" s="339"/>
      <c r="AF1306" s="568"/>
    </row>
    <row r="1307" spans="3:32" s="562" customFormat="1" ht="30" customHeight="1" x14ac:dyDescent="0.2">
      <c r="C1307" s="339"/>
      <c r="H1307" s="339"/>
      <c r="M1307" s="609"/>
      <c r="N1307" s="339"/>
      <c r="P1307" s="339"/>
      <c r="AF1307" s="568"/>
    </row>
    <row r="1308" spans="3:32" s="562" customFormat="1" ht="30" customHeight="1" x14ac:dyDescent="0.2">
      <c r="C1308" s="339"/>
      <c r="H1308" s="339"/>
      <c r="M1308" s="609"/>
      <c r="N1308" s="339"/>
      <c r="P1308" s="339"/>
      <c r="AF1308" s="568"/>
    </row>
    <row r="1309" spans="3:32" s="562" customFormat="1" ht="30" customHeight="1" x14ac:dyDescent="0.2">
      <c r="C1309" s="339"/>
      <c r="H1309" s="339"/>
      <c r="M1309" s="609"/>
      <c r="N1309" s="339"/>
      <c r="P1309" s="339"/>
      <c r="AF1309" s="568"/>
    </row>
    <row r="1310" spans="3:32" s="562" customFormat="1" ht="30" customHeight="1" x14ac:dyDescent="0.2">
      <c r="C1310" s="339"/>
      <c r="H1310" s="339"/>
      <c r="M1310" s="609"/>
      <c r="N1310" s="339"/>
      <c r="P1310" s="339"/>
      <c r="AF1310" s="568"/>
    </row>
    <row r="1311" spans="3:32" s="562" customFormat="1" ht="30" customHeight="1" x14ac:dyDescent="0.2">
      <c r="C1311" s="339"/>
      <c r="H1311" s="339"/>
      <c r="M1311" s="609"/>
      <c r="N1311" s="339"/>
      <c r="P1311" s="339"/>
      <c r="AF1311" s="568"/>
    </row>
    <row r="1312" spans="3:32" s="562" customFormat="1" ht="30" customHeight="1" x14ac:dyDescent="0.2">
      <c r="C1312" s="339"/>
      <c r="H1312" s="339"/>
      <c r="M1312" s="609"/>
      <c r="N1312" s="339"/>
      <c r="P1312" s="339"/>
      <c r="AF1312" s="568"/>
    </row>
    <row r="1313" spans="3:32" s="562" customFormat="1" ht="30" customHeight="1" x14ac:dyDescent="0.2">
      <c r="C1313" s="339"/>
      <c r="H1313" s="339"/>
      <c r="M1313" s="609"/>
      <c r="N1313" s="339"/>
      <c r="P1313" s="339"/>
      <c r="AF1313" s="568"/>
    </row>
    <row r="1314" spans="3:32" s="562" customFormat="1" ht="30" customHeight="1" x14ac:dyDescent="0.2">
      <c r="C1314" s="339"/>
      <c r="H1314" s="339"/>
      <c r="M1314" s="609"/>
      <c r="N1314" s="339"/>
      <c r="P1314" s="339"/>
      <c r="AF1314" s="568"/>
    </row>
    <row r="1315" spans="3:32" s="562" customFormat="1" ht="30" customHeight="1" x14ac:dyDescent="0.2">
      <c r="C1315" s="339"/>
      <c r="H1315" s="339"/>
      <c r="M1315" s="609"/>
      <c r="N1315" s="339"/>
      <c r="P1315" s="339"/>
      <c r="AF1315" s="568"/>
    </row>
    <row r="1316" spans="3:32" s="562" customFormat="1" ht="30" customHeight="1" x14ac:dyDescent="0.2">
      <c r="C1316" s="339"/>
      <c r="H1316" s="339"/>
      <c r="M1316" s="609"/>
      <c r="N1316" s="339"/>
      <c r="P1316" s="339"/>
      <c r="AF1316" s="568"/>
    </row>
    <row r="1317" spans="3:32" s="562" customFormat="1" ht="30" customHeight="1" x14ac:dyDescent="0.2">
      <c r="C1317" s="339"/>
      <c r="H1317" s="339"/>
      <c r="M1317" s="609"/>
      <c r="N1317" s="339"/>
      <c r="P1317" s="339"/>
      <c r="AF1317" s="568"/>
    </row>
    <row r="1318" spans="3:32" s="562" customFormat="1" ht="30" customHeight="1" x14ac:dyDescent="0.2">
      <c r="C1318" s="339"/>
      <c r="H1318" s="339"/>
      <c r="M1318" s="609"/>
      <c r="N1318" s="339"/>
      <c r="P1318" s="339"/>
      <c r="AF1318" s="568"/>
    </row>
    <row r="1319" spans="3:32" s="562" customFormat="1" ht="30" customHeight="1" x14ac:dyDescent="0.2">
      <c r="C1319" s="339"/>
      <c r="H1319" s="339"/>
      <c r="M1319" s="609"/>
      <c r="N1319" s="339"/>
      <c r="P1319" s="339"/>
      <c r="AF1319" s="568"/>
    </row>
    <row r="1320" spans="3:32" s="562" customFormat="1" ht="30" customHeight="1" x14ac:dyDescent="0.2">
      <c r="C1320" s="339"/>
      <c r="H1320" s="339"/>
      <c r="M1320" s="609"/>
      <c r="N1320" s="339"/>
      <c r="P1320" s="339"/>
      <c r="AF1320" s="568"/>
    </row>
    <row r="1321" spans="3:32" s="562" customFormat="1" ht="30" customHeight="1" x14ac:dyDescent="0.2">
      <c r="C1321" s="339"/>
      <c r="H1321" s="339"/>
      <c r="M1321" s="609"/>
      <c r="N1321" s="339"/>
      <c r="P1321" s="339"/>
      <c r="AF1321" s="568"/>
    </row>
    <row r="1322" spans="3:32" s="562" customFormat="1" ht="30" customHeight="1" x14ac:dyDescent="0.2">
      <c r="C1322" s="339"/>
      <c r="H1322" s="339"/>
      <c r="M1322" s="609"/>
      <c r="N1322" s="339"/>
      <c r="P1322" s="339"/>
      <c r="AF1322" s="568"/>
    </row>
    <row r="1323" spans="3:32" s="562" customFormat="1" ht="30" customHeight="1" x14ac:dyDescent="0.2">
      <c r="C1323" s="339"/>
      <c r="H1323" s="339"/>
      <c r="M1323" s="609"/>
      <c r="N1323" s="339"/>
      <c r="P1323" s="339"/>
      <c r="AF1323" s="568"/>
    </row>
    <row r="1324" spans="3:32" s="562" customFormat="1" ht="30" customHeight="1" x14ac:dyDescent="0.2">
      <c r="C1324" s="339"/>
      <c r="H1324" s="339"/>
      <c r="M1324" s="609"/>
      <c r="N1324" s="339"/>
      <c r="P1324" s="339"/>
      <c r="AF1324" s="568"/>
    </row>
    <row r="1325" spans="3:32" s="562" customFormat="1" ht="30" customHeight="1" x14ac:dyDescent="0.2">
      <c r="C1325" s="339"/>
      <c r="H1325" s="339"/>
      <c r="M1325" s="609"/>
      <c r="N1325" s="339"/>
      <c r="P1325" s="339"/>
      <c r="AF1325" s="568"/>
    </row>
    <row r="1326" spans="3:32" s="562" customFormat="1" ht="30" customHeight="1" x14ac:dyDescent="0.2">
      <c r="C1326" s="339"/>
      <c r="H1326" s="339"/>
      <c r="M1326" s="609"/>
      <c r="N1326" s="339"/>
      <c r="P1326" s="339"/>
      <c r="AF1326" s="568"/>
    </row>
    <row r="1327" spans="3:32" s="562" customFormat="1" ht="30" customHeight="1" x14ac:dyDescent="0.2">
      <c r="C1327" s="339"/>
      <c r="H1327" s="339"/>
      <c r="M1327" s="609"/>
      <c r="N1327" s="339"/>
      <c r="P1327" s="339"/>
      <c r="AF1327" s="568"/>
    </row>
    <row r="1328" spans="3:32" s="562" customFormat="1" ht="30" customHeight="1" x14ac:dyDescent="0.2">
      <c r="C1328" s="339"/>
      <c r="H1328" s="339"/>
      <c r="M1328" s="609"/>
      <c r="N1328" s="339"/>
      <c r="P1328" s="339"/>
      <c r="AF1328" s="568"/>
    </row>
    <row r="1329" spans="3:32" s="562" customFormat="1" ht="30" customHeight="1" x14ac:dyDescent="0.2">
      <c r="C1329" s="339"/>
      <c r="H1329" s="339"/>
      <c r="M1329" s="609"/>
      <c r="N1329" s="339"/>
      <c r="P1329" s="339"/>
      <c r="AF1329" s="568"/>
    </row>
    <row r="1330" spans="3:32" s="562" customFormat="1" ht="30" customHeight="1" x14ac:dyDescent="0.2">
      <c r="C1330" s="339"/>
      <c r="H1330" s="339"/>
      <c r="M1330" s="609"/>
      <c r="N1330" s="339"/>
      <c r="P1330" s="339"/>
      <c r="AF1330" s="568"/>
    </row>
    <row r="1331" spans="3:32" s="562" customFormat="1" ht="30" customHeight="1" x14ac:dyDescent="0.2">
      <c r="C1331" s="339"/>
      <c r="H1331" s="339"/>
      <c r="M1331" s="609"/>
      <c r="N1331" s="339"/>
      <c r="P1331" s="339"/>
      <c r="AF1331" s="568"/>
    </row>
    <row r="1332" spans="3:32" s="562" customFormat="1" ht="30" customHeight="1" x14ac:dyDescent="0.2">
      <c r="C1332" s="339"/>
      <c r="H1332" s="339"/>
      <c r="M1332" s="609"/>
      <c r="N1332" s="339"/>
      <c r="P1332" s="339"/>
      <c r="AF1332" s="568"/>
    </row>
    <row r="1333" spans="3:32" s="562" customFormat="1" ht="30" customHeight="1" x14ac:dyDescent="0.2">
      <c r="C1333" s="339"/>
      <c r="H1333" s="339"/>
      <c r="M1333" s="609"/>
      <c r="N1333" s="339"/>
      <c r="P1333" s="339"/>
      <c r="AF1333" s="568"/>
    </row>
    <row r="1334" spans="3:32" s="562" customFormat="1" ht="30" customHeight="1" x14ac:dyDescent="0.2">
      <c r="C1334" s="339"/>
      <c r="H1334" s="339"/>
      <c r="M1334" s="609"/>
      <c r="N1334" s="339"/>
      <c r="P1334" s="339"/>
      <c r="AF1334" s="568"/>
    </row>
    <row r="1335" spans="3:32" s="562" customFormat="1" ht="30" customHeight="1" x14ac:dyDescent="0.2">
      <c r="C1335" s="339"/>
      <c r="H1335" s="339"/>
      <c r="M1335" s="609"/>
      <c r="N1335" s="339"/>
      <c r="P1335" s="339"/>
      <c r="AF1335" s="568"/>
    </row>
    <row r="1336" spans="3:32" s="562" customFormat="1" ht="30" customHeight="1" x14ac:dyDescent="0.2">
      <c r="C1336" s="339"/>
      <c r="H1336" s="339"/>
      <c r="M1336" s="609"/>
      <c r="N1336" s="339"/>
      <c r="P1336" s="339"/>
      <c r="AF1336" s="568"/>
    </row>
    <row r="1337" spans="3:32" s="562" customFormat="1" ht="30" customHeight="1" x14ac:dyDescent="0.2">
      <c r="C1337" s="339"/>
      <c r="H1337" s="339"/>
      <c r="M1337" s="609"/>
      <c r="N1337" s="339"/>
      <c r="P1337" s="339"/>
      <c r="AF1337" s="568"/>
    </row>
    <row r="1338" spans="3:32" s="562" customFormat="1" ht="30" customHeight="1" x14ac:dyDescent="0.2">
      <c r="C1338" s="339"/>
      <c r="H1338" s="339"/>
      <c r="M1338" s="609"/>
      <c r="N1338" s="339"/>
      <c r="P1338" s="339"/>
      <c r="AF1338" s="568"/>
    </row>
    <row r="1339" spans="3:32" s="562" customFormat="1" ht="30" customHeight="1" x14ac:dyDescent="0.2">
      <c r="C1339" s="339"/>
      <c r="H1339" s="339"/>
      <c r="M1339" s="609"/>
      <c r="N1339" s="339"/>
      <c r="P1339" s="339"/>
      <c r="AF1339" s="568"/>
    </row>
    <row r="1340" spans="3:32" s="562" customFormat="1" ht="30" customHeight="1" x14ac:dyDescent="0.2">
      <c r="C1340" s="339"/>
      <c r="H1340" s="339"/>
      <c r="M1340" s="609"/>
      <c r="N1340" s="339"/>
      <c r="P1340" s="339"/>
      <c r="AF1340" s="568"/>
    </row>
    <row r="1341" spans="3:32" s="562" customFormat="1" ht="30" customHeight="1" x14ac:dyDescent="0.2">
      <c r="C1341" s="339"/>
      <c r="H1341" s="339"/>
      <c r="M1341" s="609"/>
      <c r="N1341" s="339"/>
      <c r="P1341" s="339"/>
      <c r="AF1341" s="568"/>
    </row>
    <row r="1342" spans="3:32" s="562" customFormat="1" ht="30" customHeight="1" x14ac:dyDescent="0.2">
      <c r="C1342" s="339"/>
      <c r="H1342" s="339"/>
      <c r="M1342" s="609"/>
      <c r="N1342" s="339"/>
      <c r="P1342" s="339"/>
      <c r="AF1342" s="568"/>
    </row>
    <row r="1343" spans="3:32" s="562" customFormat="1" ht="30" customHeight="1" x14ac:dyDescent="0.2">
      <c r="C1343" s="339"/>
      <c r="H1343" s="339"/>
      <c r="M1343" s="609"/>
      <c r="N1343" s="339"/>
      <c r="P1343" s="339"/>
      <c r="AF1343" s="568"/>
    </row>
  </sheetData>
  <mergeCells count="447">
    <mergeCell ref="A743:K743"/>
    <mergeCell ref="A744:H744"/>
    <mergeCell ref="L723:L726"/>
    <mergeCell ref="N723:N726"/>
    <mergeCell ref="O723:O726"/>
    <mergeCell ref="C736:C738"/>
    <mergeCell ref="D736:D738"/>
    <mergeCell ref="E736:E738"/>
    <mergeCell ref="F736:F738"/>
    <mergeCell ref="L736:L738"/>
    <mergeCell ref="N736:N738"/>
    <mergeCell ref="O736:O738"/>
    <mergeCell ref="L698:L700"/>
    <mergeCell ref="N698:N700"/>
    <mergeCell ref="O698:O700"/>
    <mergeCell ref="B709:B711"/>
    <mergeCell ref="B717:E717"/>
    <mergeCell ref="C718:F718"/>
    <mergeCell ref="B697:B705"/>
    <mergeCell ref="C698:C700"/>
    <mergeCell ref="D698:D700"/>
    <mergeCell ref="E698:E700"/>
    <mergeCell ref="F698:F700"/>
    <mergeCell ref="G698:G700"/>
    <mergeCell ref="N677:N678"/>
    <mergeCell ref="O677:O678"/>
    <mergeCell ref="C690:C692"/>
    <mergeCell ref="D690:D692"/>
    <mergeCell ref="E690:E692"/>
    <mergeCell ref="F690:F692"/>
    <mergeCell ref="G690:G692"/>
    <mergeCell ref="L690:L692"/>
    <mergeCell ref="N690:N692"/>
    <mergeCell ref="O690:O692"/>
    <mergeCell ref="A672:G672"/>
    <mergeCell ref="C677:C678"/>
    <mergeCell ref="D677:D678"/>
    <mergeCell ref="E677:E678"/>
    <mergeCell ref="F677:F678"/>
    <mergeCell ref="L677:L678"/>
    <mergeCell ref="G664:G666"/>
    <mergeCell ref="L664:L666"/>
    <mergeCell ref="M664:M666"/>
    <mergeCell ref="N664:N666"/>
    <mergeCell ref="O664:O666"/>
    <mergeCell ref="A671:C671"/>
    <mergeCell ref="O652:O653"/>
    <mergeCell ref="C657:C658"/>
    <mergeCell ref="D657:D658"/>
    <mergeCell ref="E657:E658"/>
    <mergeCell ref="F657:F658"/>
    <mergeCell ref="G657:G658"/>
    <mergeCell ref="L657:L658"/>
    <mergeCell ref="M657:M658"/>
    <mergeCell ref="N657:N658"/>
    <mergeCell ref="O657:O658"/>
    <mergeCell ref="N646:N647"/>
    <mergeCell ref="O646:O647"/>
    <mergeCell ref="C652:C653"/>
    <mergeCell ref="D652:D653"/>
    <mergeCell ref="E652:E653"/>
    <mergeCell ref="F652:F653"/>
    <mergeCell ref="G652:G653"/>
    <mergeCell ref="L652:L653"/>
    <mergeCell ref="M652:M653"/>
    <mergeCell ref="N652:N653"/>
    <mergeCell ref="C646:C647"/>
    <mergeCell ref="D646:D647"/>
    <mergeCell ref="E646:E647"/>
    <mergeCell ref="F646:F647"/>
    <mergeCell ref="L646:L647"/>
    <mergeCell ref="M646:M647"/>
    <mergeCell ref="O615:O616"/>
    <mergeCell ref="C636:C638"/>
    <mergeCell ref="D636:D638"/>
    <mergeCell ref="E636:E638"/>
    <mergeCell ref="F636:F638"/>
    <mergeCell ref="G636:G638"/>
    <mergeCell ref="L636:L638"/>
    <mergeCell ref="M636:M638"/>
    <mergeCell ref="N636:N638"/>
    <mergeCell ref="O636:O638"/>
    <mergeCell ref="M609:M610"/>
    <mergeCell ref="N609:N610"/>
    <mergeCell ref="O609:O610"/>
    <mergeCell ref="C615:C616"/>
    <mergeCell ref="D615:D616"/>
    <mergeCell ref="E615:E616"/>
    <mergeCell ref="F615:F616"/>
    <mergeCell ref="L615:L616"/>
    <mergeCell ref="M615:M616"/>
    <mergeCell ref="N615:N616"/>
    <mergeCell ref="C609:C610"/>
    <mergeCell ref="D609:D610"/>
    <mergeCell ref="E609:E610"/>
    <mergeCell ref="F609:F610"/>
    <mergeCell ref="G609:G610"/>
    <mergeCell ref="L609:L610"/>
    <mergeCell ref="N596:N598"/>
    <mergeCell ref="O596:O598"/>
    <mergeCell ref="L602:L605"/>
    <mergeCell ref="M602:M605"/>
    <mergeCell ref="N602:N605"/>
    <mergeCell ref="O602:O605"/>
    <mergeCell ref="D596:D597"/>
    <mergeCell ref="E596:E597"/>
    <mergeCell ref="F596:F597"/>
    <mergeCell ref="G596:G597"/>
    <mergeCell ref="L596:L598"/>
    <mergeCell ref="M596:M598"/>
    <mergeCell ref="M586:M587"/>
    <mergeCell ref="N586:N587"/>
    <mergeCell ref="O586:O587"/>
    <mergeCell ref="G591:G592"/>
    <mergeCell ref="L591:L592"/>
    <mergeCell ref="M591:M592"/>
    <mergeCell ref="N591:N592"/>
    <mergeCell ref="O591:O592"/>
    <mergeCell ref="C586:C587"/>
    <mergeCell ref="D586:D587"/>
    <mergeCell ref="E586:E587"/>
    <mergeCell ref="F586:F587"/>
    <mergeCell ref="G586:G587"/>
    <mergeCell ref="L586:L587"/>
    <mergeCell ref="N578:N579"/>
    <mergeCell ref="O578:O579"/>
    <mergeCell ref="L580:L581"/>
    <mergeCell ref="M580:M581"/>
    <mergeCell ref="N580:N581"/>
    <mergeCell ref="O580:O581"/>
    <mergeCell ref="C573:C574"/>
    <mergeCell ref="D573:D574"/>
    <mergeCell ref="E573:E574"/>
    <mergeCell ref="F573:F574"/>
    <mergeCell ref="L578:L579"/>
    <mergeCell ref="M578:M579"/>
    <mergeCell ref="N566:N568"/>
    <mergeCell ref="O566:O568"/>
    <mergeCell ref="G572:G574"/>
    <mergeCell ref="L572:L574"/>
    <mergeCell ref="M572:M574"/>
    <mergeCell ref="N572:N574"/>
    <mergeCell ref="O572:O574"/>
    <mergeCell ref="C566:C568"/>
    <mergeCell ref="D566:D568"/>
    <mergeCell ref="E566:E568"/>
    <mergeCell ref="F566:F568"/>
    <mergeCell ref="L566:L568"/>
    <mergeCell ref="M566:M568"/>
    <mergeCell ref="M554:M555"/>
    <mergeCell ref="N554:N555"/>
    <mergeCell ref="O554:O555"/>
    <mergeCell ref="L559:L562"/>
    <mergeCell ref="M559:M562"/>
    <mergeCell ref="N559:N562"/>
    <mergeCell ref="O559:O562"/>
    <mergeCell ref="C554:C555"/>
    <mergeCell ref="D554:D555"/>
    <mergeCell ref="E554:E555"/>
    <mergeCell ref="F554:F555"/>
    <mergeCell ref="G554:G555"/>
    <mergeCell ref="L554:L555"/>
    <mergeCell ref="N523:N526"/>
    <mergeCell ref="O523:O526"/>
    <mergeCell ref="L546:L548"/>
    <mergeCell ref="M546:M548"/>
    <mergeCell ref="N546:N548"/>
    <mergeCell ref="O546:O548"/>
    <mergeCell ref="L487:L489"/>
    <mergeCell ref="M487:M489"/>
    <mergeCell ref="N487:N489"/>
    <mergeCell ref="O487:O489"/>
    <mergeCell ref="C523:C526"/>
    <mergeCell ref="D523:D526"/>
    <mergeCell ref="E523:E526"/>
    <mergeCell ref="F523:F526"/>
    <mergeCell ref="L523:L526"/>
    <mergeCell ref="M523:M526"/>
    <mergeCell ref="N470:N471"/>
    <mergeCell ref="O470:O471"/>
    <mergeCell ref="C481:C483"/>
    <mergeCell ref="D481:D483"/>
    <mergeCell ref="E481:E483"/>
    <mergeCell ref="F481:F483"/>
    <mergeCell ref="L481:L483"/>
    <mergeCell ref="M481:M483"/>
    <mergeCell ref="N481:N483"/>
    <mergeCell ref="O481:O483"/>
    <mergeCell ref="C470:C471"/>
    <mergeCell ref="D470:D471"/>
    <mergeCell ref="E470:E471"/>
    <mergeCell ref="F470:F471"/>
    <mergeCell ref="L470:L471"/>
    <mergeCell ref="M470:M471"/>
    <mergeCell ref="N440:N441"/>
    <mergeCell ref="O440:O441"/>
    <mergeCell ref="C453:C454"/>
    <mergeCell ref="D453:D454"/>
    <mergeCell ref="E453:E454"/>
    <mergeCell ref="F453:F454"/>
    <mergeCell ref="L453:L454"/>
    <mergeCell ref="M453:M454"/>
    <mergeCell ref="N453:N454"/>
    <mergeCell ref="O453:O454"/>
    <mergeCell ref="L430:L433"/>
    <mergeCell ref="M430:M433"/>
    <mergeCell ref="N430:N433"/>
    <mergeCell ref="O430:O433"/>
    <mergeCell ref="C440:C441"/>
    <mergeCell ref="D440:D441"/>
    <mergeCell ref="E440:E441"/>
    <mergeCell ref="F440:F441"/>
    <mergeCell ref="L440:L441"/>
    <mergeCell ref="M440:M441"/>
    <mergeCell ref="L409:L412"/>
    <mergeCell ref="M409:M412"/>
    <mergeCell ref="N409:N412"/>
    <mergeCell ref="O409:O412"/>
    <mergeCell ref="L422:L426"/>
    <mergeCell ref="M422:M426"/>
    <mergeCell ref="N422:N426"/>
    <mergeCell ref="O422:O426"/>
    <mergeCell ref="L385:L392"/>
    <mergeCell ref="M385:M392"/>
    <mergeCell ref="N385:N392"/>
    <mergeCell ref="O385:O392"/>
    <mergeCell ref="L396:L405"/>
    <mergeCell ref="M396:M405"/>
    <mergeCell ref="N396:N405"/>
    <mergeCell ref="O396:O405"/>
    <mergeCell ref="L364:L366"/>
    <mergeCell ref="M364:M366"/>
    <mergeCell ref="N364:N366"/>
    <mergeCell ref="O364:O366"/>
    <mergeCell ref="L370:L375"/>
    <mergeCell ref="M370:M375"/>
    <mergeCell ref="N370:N375"/>
    <mergeCell ref="O370:O375"/>
    <mergeCell ref="L323:L325"/>
    <mergeCell ref="M323:M325"/>
    <mergeCell ref="N323:N325"/>
    <mergeCell ref="O323:O325"/>
    <mergeCell ref="L333:L337"/>
    <mergeCell ref="M333:M337"/>
    <mergeCell ref="N333:N337"/>
    <mergeCell ref="O333:O337"/>
    <mergeCell ref="L307:L310"/>
    <mergeCell ref="M307:M312"/>
    <mergeCell ref="N307:N310"/>
    <mergeCell ref="O307:O310"/>
    <mergeCell ref="L316:L319"/>
    <mergeCell ref="M316:M319"/>
    <mergeCell ref="N316:N319"/>
    <mergeCell ref="O316:O319"/>
    <mergeCell ref="L288:L292"/>
    <mergeCell ref="M288:M292"/>
    <mergeCell ref="N288:N292"/>
    <mergeCell ref="O288:O292"/>
    <mergeCell ref="L300:L303"/>
    <mergeCell ref="M300:M303"/>
    <mergeCell ref="N300:N303"/>
    <mergeCell ref="O300:O303"/>
    <mergeCell ref="L273:L278"/>
    <mergeCell ref="M273:M278"/>
    <mergeCell ref="N273:N278"/>
    <mergeCell ref="O273:O278"/>
    <mergeCell ref="L282:L283"/>
    <mergeCell ref="M282:M283"/>
    <mergeCell ref="N282:N283"/>
    <mergeCell ref="O282:O283"/>
    <mergeCell ref="N246:N248"/>
    <mergeCell ref="O246:O248"/>
    <mergeCell ref="C254:C255"/>
    <mergeCell ref="D254:D255"/>
    <mergeCell ref="E254:E255"/>
    <mergeCell ref="F254:F255"/>
    <mergeCell ref="L254:L255"/>
    <mergeCell ref="M254:M255"/>
    <mergeCell ref="N254:N255"/>
    <mergeCell ref="O254:O255"/>
    <mergeCell ref="C241:C242"/>
    <mergeCell ref="D241:D242"/>
    <mergeCell ref="E241:E242"/>
    <mergeCell ref="F241:F242"/>
    <mergeCell ref="L246:L248"/>
    <mergeCell ref="M246:M248"/>
    <mergeCell ref="N233:N235"/>
    <mergeCell ref="O233:O235"/>
    <mergeCell ref="G239:G242"/>
    <mergeCell ref="L239:L242"/>
    <mergeCell ref="M239:M242"/>
    <mergeCell ref="N239:N242"/>
    <mergeCell ref="O239:O242"/>
    <mergeCell ref="C233:C234"/>
    <mergeCell ref="D233:D234"/>
    <mergeCell ref="E233:E234"/>
    <mergeCell ref="F233:F234"/>
    <mergeCell ref="L233:L235"/>
    <mergeCell ref="M233:M235"/>
    <mergeCell ref="N220:N221"/>
    <mergeCell ref="O220:O221"/>
    <mergeCell ref="L231:L232"/>
    <mergeCell ref="M231:M232"/>
    <mergeCell ref="N231:N232"/>
    <mergeCell ref="O231:O232"/>
    <mergeCell ref="C220:C221"/>
    <mergeCell ref="D220:D221"/>
    <mergeCell ref="E220:E221"/>
    <mergeCell ref="F220:F221"/>
    <mergeCell ref="L220:L221"/>
    <mergeCell ref="M220:M221"/>
    <mergeCell ref="O181:O185"/>
    <mergeCell ref="C200:C202"/>
    <mergeCell ref="D200:D202"/>
    <mergeCell ref="E200:E202"/>
    <mergeCell ref="F200:F202"/>
    <mergeCell ref="L200:L202"/>
    <mergeCell ref="M200:M202"/>
    <mergeCell ref="N200:N202"/>
    <mergeCell ref="O200:O202"/>
    <mergeCell ref="M166:M167"/>
    <mergeCell ref="N166:N167"/>
    <mergeCell ref="O166:O167"/>
    <mergeCell ref="C181:C185"/>
    <mergeCell ref="D181:D185"/>
    <mergeCell ref="E181:E185"/>
    <mergeCell ref="F181:F185"/>
    <mergeCell ref="L181:L185"/>
    <mergeCell ref="M181:M185"/>
    <mergeCell ref="N181:N185"/>
    <mergeCell ref="C166:C167"/>
    <mergeCell ref="D166:D167"/>
    <mergeCell ref="E166:E167"/>
    <mergeCell ref="F166:F167"/>
    <mergeCell ref="G166:G167"/>
    <mergeCell ref="L166:L167"/>
    <mergeCell ref="N151:N152"/>
    <mergeCell ref="O151:O152"/>
    <mergeCell ref="C158:C162"/>
    <mergeCell ref="D158:D162"/>
    <mergeCell ref="E158:E162"/>
    <mergeCell ref="F158:F162"/>
    <mergeCell ref="L158:L162"/>
    <mergeCell ref="M158:M162"/>
    <mergeCell ref="N158:N162"/>
    <mergeCell ref="O158:O162"/>
    <mergeCell ref="C151:C152"/>
    <mergeCell ref="D151:D152"/>
    <mergeCell ref="E151:E152"/>
    <mergeCell ref="F151:F152"/>
    <mergeCell ref="L151:L152"/>
    <mergeCell ref="M151:M152"/>
    <mergeCell ref="N137:N141"/>
    <mergeCell ref="O137:O141"/>
    <mergeCell ref="C145:C147"/>
    <mergeCell ref="D145:D147"/>
    <mergeCell ref="E145:E147"/>
    <mergeCell ref="F145:F147"/>
    <mergeCell ref="L145:L147"/>
    <mergeCell ref="M145:M147"/>
    <mergeCell ref="N145:N147"/>
    <mergeCell ref="O145:O147"/>
    <mergeCell ref="C137:C141"/>
    <mergeCell ref="D137:D141"/>
    <mergeCell ref="E137:E141"/>
    <mergeCell ref="F137:F141"/>
    <mergeCell ref="L137:L141"/>
    <mergeCell ref="M137:M141"/>
    <mergeCell ref="N128:N131"/>
    <mergeCell ref="O128:O131"/>
    <mergeCell ref="C130:C131"/>
    <mergeCell ref="D130:D131"/>
    <mergeCell ref="E130:E131"/>
    <mergeCell ref="F130:F131"/>
    <mergeCell ref="C128:C129"/>
    <mergeCell ref="D128:D129"/>
    <mergeCell ref="E128:E129"/>
    <mergeCell ref="F128:F129"/>
    <mergeCell ref="L128:L131"/>
    <mergeCell ref="M128:M131"/>
    <mergeCell ref="N120:N124"/>
    <mergeCell ref="O120:O124"/>
    <mergeCell ref="C123:C124"/>
    <mergeCell ref="D123:D124"/>
    <mergeCell ref="E123:E124"/>
    <mergeCell ref="F123:F124"/>
    <mergeCell ref="C120:C122"/>
    <mergeCell ref="D120:D122"/>
    <mergeCell ref="E120:E122"/>
    <mergeCell ref="F120:F122"/>
    <mergeCell ref="L120:L124"/>
    <mergeCell ref="M120:M124"/>
    <mergeCell ref="N84:N86"/>
    <mergeCell ref="O84:O86"/>
    <mergeCell ref="C90:C96"/>
    <mergeCell ref="D90:D96"/>
    <mergeCell ref="E90:E96"/>
    <mergeCell ref="F90:F96"/>
    <mergeCell ref="L90:L96"/>
    <mergeCell ref="N90:N96"/>
    <mergeCell ref="O90:O96"/>
    <mergeCell ref="C84:C86"/>
    <mergeCell ref="D84:D86"/>
    <mergeCell ref="E84:E86"/>
    <mergeCell ref="F84:F86"/>
    <mergeCell ref="L84:L86"/>
    <mergeCell ref="M84:M86"/>
    <mergeCell ref="N70:N72"/>
    <mergeCell ref="O70:O72"/>
    <mergeCell ref="C73:C74"/>
    <mergeCell ref="D73:D74"/>
    <mergeCell ref="E73:E74"/>
    <mergeCell ref="F73:F74"/>
    <mergeCell ref="L73:L74"/>
    <mergeCell ref="M73:M74"/>
    <mergeCell ref="N73:N74"/>
    <mergeCell ref="O73:O74"/>
    <mergeCell ref="C70:C72"/>
    <mergeCell ref="D70:D72"/>
    <mergeCell ref="E70:E72"/>
    <mergeCell ref="F70:F72"/>
    <mergeCell ref="L70:L72"/>
    <mergeCell ref="M70:M72"/>
    <mergeCell ref="N43:N47"/>
    <mergeCell ref="O43:O47"/>
    <mergeCell ref="C52:C60"/>
    <mergeCell ref="D52:D60"/>
    <mergeCell ref="E52:E60"/>
    <mergeCell ref="F52:F60"/>
    <mergeCell ref="L52:L60"/>
    <mergeCell ref="M52:M60"/>
    <mergeCell ref="N52:N60"/>
    <mergeCell ref="O52:O60"/>
    <mergeCell ref="C43:C47"/>
    <mergeCell ref="D43:D47"/>
    <mergeCell ref="E43:E47"/>
    <mergeCell ref="F43:F47"/>
    <mergeCell ref="L43:L47"/>
    <mergeCell ref="M43:M47"/>
    <mergeCell ref="A1:AI2"/>
    <mergeCell ref="A3:AI4"/>
    <mergeCell ref="C5:D5"/>
    <mergeCell ref="H5:I5"/>
    <mergeCell ref="L14:L17"/>
    <mergeCell ref="M14:M17"/>
    <mergeCell ref="N14:N17"/>
    <mergeCell ref="O14:O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DIC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AUXPLANEACION13</dc:creator>
  <cp:keywords/>
  <dc:description/>
  <cp:lastModifiedBy>Bryan</cp:lastModifiedBy>
  <cp:revision/>
  <dcterms:created xsi:type="dcterms:W3CDTF">2018-02-06T12:38:27Z</dcterms:created>
  <dcterms:modified xsi:type="dcterms:W3CDTF">2023-06-05T16:33:25Z</dcterms:modified>
  <cp:category/>
  <cp:contentStatus/>
</cp:coreProperties>
</file>